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tos\Desktop\まナビ学習計画作成ツール\"/>
    </mc:Choice>
  </mc:AlternateContent>
  <xr:revisionPtr revIDLastSave="0" documentId="13_ncr:1_{5E766DEF-2785-414D-873E-60EBBCA9A3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使い方" sheetId="11" r:id="rId1"/>
    <sheet name="設定入力" sheetId="9" r:id="rId2"/>
    <sheet name="出力シート" sheetId="10" r:id="rId3"/>
    <sheet name="項目順ﾃﾞｰﾀｴﾘｱ" sheetId="7" state="veryHidden" r:id="rId4"/>
    <sheet name="フリー入力" sheetId="12" r:id="rId5"/>
    <sheet name="フリー出力" sheetId="13" r:id="rId6"/>
  </sheets>
  <definedNames>
    <definedName name="_xlnm.Print_Area" localSheetId="5">フリー出力!$C$1:$P$27</definedName>
    <definedName name="_xlnm.Print_Area" localSheetId="4">フリー入力!$E$1:$J$35</definedName>
    <definedName name="_xlnm.Print_Area" localSheetId="2">出力シート!$C$1:$P$27</definedName>
    <definedName name="_xlnm.Print_Area" localSheetId="1">設定入力!$A$1:$L$35</definedName>
    <definedName name="Wナビ項目数">項目順ﾃﾞｰﾀｴﾘｱ!$BM$4:$BM$28</definedName>
    <definedName name="ナビ項目数">項目順ﾃﾞｰﾀｴﾘｱ!$T$24:$T$53</definedName>
    <definedName name="パターン抽出②_1">項目順ﾃﾞｰﾀｴﾘｱ!$X$4:$AC$278</definedName>
    <definedName name="パターン抽出②_2">項目順ﾃﾞｰﾀｴﾘｱ!$AF$4:$AK$278</definedName>
    <definedName name="パターン抽出②_3">項目順ﾃﾞｰﾀｴﾘｱ!$AN$4:$AS$278</definedName>
    <definedName name="パターン抽出②_4">項目順ﾃﾞｰﾀｴﾘｱ!$AV$4:$BA$278</definedName>
    <definedName name="パターン抽出②_5">項目順ﾃﾞｰﾀｴﾘｱ!$BD$4:$BI$278</definedName>
    <definedName name="パターン抽出②w_1">項目順ﾃﾞｰﾀｴﾘｱ!$BQ$4:$BV$278</definedName>
    <definedName name="パターン抽出②w_2">項目順ﾃﾞｰﾀｴﾘｱ!$BY$4:$CD$278</definedName>
    <definedName name="パターン抽出②w_3">項目順ﾃﾞｰﾀｴﾘｱ!$CG$4:$CL$278</definedName>
    <definedName name="パターン抽出②w_4">項目順ﾃﾞｰﾀｴﾘｱ!$CO$4:$CT$278</definedName>
    <definedName name="パターン抽出②w_5">項目順ﾃﾞｰﾀｴﾘｱ!$CW$4:$DB$278</definedName>
    <definedName name="ミニナビ項目数">項目順ﾃﾞｰﾀｴﾘｱ!$T$4:$T$23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9" l="1"/>
  <c r="H30" i="9"/>
  <c r="H19" i="9"/>
  <c r="H18" i="9"/>
  <c r="H11" i="9"/>
  <c r="H7" i="9"/>
  <c r="H6" i="9"/>
  <c r="C28" i="7"/>
  <c r="C21" i="7"/>
  <c r="D6" i="9"/>
  <c r="D7" i="9"/>
  <c r="D8" i="9"/>
  <c r="H8" i="9" s="1"/>
  <c r="D9" i="9"/>
  <c r="H9" i="9" s="1"/>
  <c r="D10" i="9"/>
  <c r="H10" i="9" s="1"/>
  <c r="D11" i="9"/>
  <c r="D12" i="9"/>
  <c r="H12" i="9" s="1"/>
  <c r="D13" i="9"/>
  <c r="H13" i="9" s="1"/>
  <c r="D14" i="9"/>
  <c r="H14" i="9" s="1"/>
  <c r="D15" i="9"/>
  <c r="H15" i="9" s="1"/>
  <c r="D16" i="9"/>
  <c r="H16" i="9" s="1"/>
  <c r="D17" i="9"/>
  <c r="H17" i="9" s="1"/>
  <c r="D18" i="9"/>
  <c r="D19" i="9"/>
  <c r="D20" i="9"/>
  <c r="H20" i="9" s="1"/>
  <c r="D21" i="9"/>
  <c r="H21" i="9" s="1"/>
  <c r="D22" i="9"/>
  <c r="H22" i="9" s="1"/>
  <c r="D23" i="9"/>
  <c r="H23" i="9" s="1"/>
  <c r="D24" i="9"/>
  <c r="H24" i="9" s="1"/>
  <c r="D25" i="9"/>
  <c r="H25" i="9" s="1"/>
  <c r="D26" i="9"/>
  <c r="H26" i="9" s="1"/>
  <c r="D27" i="9"/>
  <c r="H27" i="9" s="1"/>
  <c r="D28" i="9"/>
  <c r="H28" i="9" s="1"/>
  <c r="D29" i="9"/>
  <c r="H29" i="9" s="1"/>
  <c r="D30" i="9"/>
  <c r="D31" i="9"/>
  <c r="D32" i="9"/>
  <c r="H32" i="9" s="1"/>
  <c r="D5" i="9"/>
  <c r="H5" i="9" s="1"/>
  <c r="E1" i="9"/>
  <c r="C20" i="7" s="1"/>
  <c r="C27" i="7" l="1"/>
  <c r="B17" i="7" s="1"/>
  <c r="B18" i="7"/>
  <c r="M4" i="7"/>
  <c r="B28" i="7"/>
  <c r="B27" i="7"/>
  <c r="A27" i="7" l="1"/>
  <c r="A20" i="7"/>
  <c r="E2" i="9"/>
  <c r="B25" i="7" s="1"/>
  <c r="Q2" i="7" l="1"/>
  <c r="A11" i="9"/>
  <c r="A9" i="9" l="1"/>
  <c r="AQ4" i="7" l="1"/>
  <c r="BT4" i="7"/>
  <c r="BP4" i="7" s="1"/>
  <c r="AA4" i="7"/>
  <c r="W4" i="7" s="1"/>
  <c r="CB4" i="7"/>
  <c r="AI4" i="7"/>
  <c r="BG4" i="7"/>
  <c r="AY4" i="7"/>
  <c r="CR4" i="7"/>
  <c r="CZ4" i="7"/>
  <c r="CJ4" i="7"/>
  <c r="E1" i="12"/>
  <c r="G1" i="9"/>
  <c r="AY5" i="7" l="1"/>
  <c r="AZ4" i="7"/>
  <c r="AU4" i="7"/>
  <c r="AW4" i="7"/>
  <c r="AV4" i="7"/>
  <c r="BC4" i="7"/>
  <c r="BG5" i="7"/>
  <c r="BE4" i="7"/>
  <c r="BH4" i="7"/>
  <c r="BD4" i="7"/>
  <c r="AF4" i="7"/>
  <c r="AJ4" i="7"/>
  <c r="AI5" i="7"/>
  <c r="AE4" i="7"/>
  <c r="AG4" i="7"/>
  <c r="DA4" i="7"/>
  <c r="CX4" i="7"/>
  <c r="CZ5" i="7"/>
  <c r="CW4" i="7"/>
  <c r="CV4" i="7"/>
  <c r="BR4" i="7"/>
  <c r="BU4" i="7"/>
  <c r="BQ4" i="7"/>
  <c r="CB5" i="7"/>
  <c r="CC4" i="7"/>
  <c r="BZ4" i="7"/>
  <c r="BX4" i="7"/>
  <c r="BY4" i="7"/>
  <c r="CK4" i="7"/>
  <c r="CF4" i="7"/>
  <c r="CJ5" i="7"/>
  <c r="CH4" i="7"/>
  <c r="CG4" i="7"/>
  <c r="AB4" i="7"/>
  <c r="Y4" i="7"/>
  <c r="X4" i="7"/>
  <c r="CS4" i="7"/>
  <c r="CO4" i="7"/>
  <c r="CN4" i="7"/>
  <c r="CP4" i="7"/>
  <c r="AQ5" i="7"/>
  <c r="AR4" i="7"/>
  <c r="AO4" i="7"/>
  <c r="AN4" i="7"/>
  <c r="AM4" i="7"/>
  <c r="CR5" i="7"/>
  <c r="E35" i="12"/>
  <c r="D35" i="12"/>
  <c r="F35" i="12" s="1"/>
  <c r="E34" i="12"/>
  <c r="D34" i="12"/>
  <c r="F34" i="12" s="1"/>
  <c r="E33" i="12"/>
  <c r="D33" i="12"/>
  <c r="F33" i="12" s="1"/>
  <c r="D32" i="12"/>
  <c r="F32" i="12" s="1"/>
  <c r="D31" i="12"/>
  <c r="F31" i="12" s="1"/>
  <c r="D30" i="12"/>
  <c r="F30" i="12" s="1"/>
  <c r="D29" i="12"/>
  <c r="F29" i="12" s="1"/>
  <c r="D28" i="12"/>
  <c r="F28" i="12" s="1"/>
  <c r="D27" i="12"/>
  <c r="F27" i="12" s="1"/>
  <c r="D26" i="12"/>
  <c r="F26" i="12" s="1"/>
  <c r="D25" i="12"/>
  <c r="F25" i="12" s="1"/>
  <c r="D24" i="12"/>
  <c r="F24" i="12" s="1"/>
  <c r="D23" i="12"/>
  <c r="F23" i="12" s="1"/>
  <c r="D22" i="12"/>
  <c r="F22" i="12" s="1"/>
  <c r="D21" i="12"/>
  <c r="F21" i="12" s="1"/>
  <c r="D20" i="12"/>
  <c r="F20" i="12" s="1"/>
  <c r="D19" i="12"/>
  <c r="F19" i="12" s="1"/>
  <c r="D18" i="12"/>
  <c r="F18" i="12" s="1"/>
  <c r="D17" i="12"/>
  <c r="F17" i="12" s="1"/>
  <c r="D16" i="12"/>
  <c r="F16" i="12" s="1"/>
  <c r="D15" i="12"/>
  <c r="F15" i="12" s="1"/>
  <c r="D14" i="12"/>
  <c r="F14" i="12" s="1"/>
  <c r="D13" i="12"/>
  <c r="F13" i="12" s="1"/>
  <c r="D12" i="12"/>
  <c r="F12" i="12" s="1"/>
  <c r="D11" i="12"/>
  <c r="F11" i="12" s="1"/>
  <c r="D10" i="12"/>
  <c r="F10" i="12" s="1"/>
  <c r="D9" i="12"/>
  <c r="F9" i="12" s="1"/>
  <c r="D8" i="12"/>
  <c r="F8" i="12" s="1"/>
  <c r="D7" i="12"/>
  <c r="F7" i="12" s="1"/>
  <c r="D6" i="12"/>
  <c r="F6" i="12" s="1"/>
  <c r="D5" i="12"/>
  <c r="F5" i="12" s="1"/>
  <c r="AM5" i="7" l="1"/>
  <c r="AN5" i="7"/>
  <c r="AO5" i="7"/>
  <c r="AR5" i="7"/>
  <c r="AQ6" i="7"/>
  <c r="BG6" i="7"/>
  <c r="BC5" i="7"/>
  <c r="BD5" i="7"/>
  <c r="BH5" i="7"/>
  <c r="BE5" i="7"/>
  <c r="CV5" i="7"/>
  <c r="CX5" i="7"/>
  <c r="CZ6" i="7"/>
  <c r="CW5" i="7"/>
  <c r="DA5" i="7"/>
  <c r="CC5" i="7"/>
  <c r="BY5" i="7"/>
  <c r="BZ5" i="7"/>
  <c r="BX5" i="7"/>
  <c r="CO5" i="7"/>
  <c r="CS5" i="7"/>
  <c r="CN5" i="7"/>
  <c r="CP5" i="7"/>
  <c r="CG5" i="7"/>
  <c r="CH5" i="7"/>
  <c r="CJ6" i="7"/>
  <c r="CF5" i="7"/>
  <c r="CK5" i="7"/>
  <c r="AF5" i="7"/>
  <c r="AJ5" i="7"/>
  <c r="AG5" i="7"/>
  <c r="AE5" i="7"/>
  <c r="AZ5" i="7"/>
  <c r="AY6" i="7"/>
  <c r="AV5" i="7"/>
  <c r="AW5" i="7"/>
  <c r="AU5" i="7"/>
  <c r="CR6" i="7"/>
  <c r="C1" i="13"/>
  <c r="C29" i="13" s="1"/>
  <c r="AR6" i="7" l="1"/>
  <c r="AM6" i="7"/>
  <c r="AN6" i="7"/>
  <c r="AO6" i="7"/>
  <c r="BD6" i="7"/>
  <c r="BH6" i="7"/>
  <c r="BG7" i="7"/>
  <c r="BC6" i="7"/>
  <c r="BE6" i="7"/>
  <c r="AV6" i="7"/>
  <c r="AZ6" i="7"/>
  <c r="AU6" i="7"/>
  <c r="AY7" i="7"/>
  <c r="AW6" i="7"/>
  <c r="CF6" i="7"/>
  <c r="CG6" i="7"/>
  <c r="CK6" i="7"/>
  <c r="CH6" i="7"/>
  <c r="CO6" i="7"/>
  <c r="CN6" i="7"/>
  <c r="CP6" i="7"/>
  <c r="CS6" i="7"/>
  <c r="CX6" i="7"/>
  <c r="CZ7" i="7"/>
  <c r="CW6" i="7"/>
  <c r="DA6" i="7"/>
  <c r="CV6" i="7"/>
  <c r="CR7" i="7"/>
  <c r="O28" i="13"/>
  <c r="G28" i="13"/>
  <c r="M28" i="13"/>
  <c r="E28" i="13"/>
  <c r="K28" i="13"/>
  <c r="C28" i="13"/>
  <c r="I28" i="13"/>
  <c r="M31" i="7"/>
  <c r="CZ8" i="7" l="1"/>
  <c r="DA7" i="7"/>
  <c r="CV7" i="7"/>
  <c r="CX7" i="7"/>
  <c r="CW7" i="7"/>
  <c r="BG8" i="7"/>
  <c r="BD7" i="7"/>
  <c r="BH7" i="7"/>
  <c r="BE7" i="7"/>
  <c r="BC7" i="7"/>
  <c r="CS7" i="7"/>
  <c r="CO7" i="7"/>
  <c r="CP7" i="7"/>
  <c r="CN7" i="7"/>
  <c r="AW7" i="7"/>
  <c r="AU7" i="7"/>
  <c r="AZ7" i="7"/>
  <c r="AV7" i="7"/>
  <c r="O4" i="13"/>
  <c r="K4" i="13"/>
  <c r="G4" i="13"/>
  <c r="C4" i="13"/>
  <c r="M4" i="13"/>
  <c r="I4" i="13"/>
  <c r="E4" i="13"/>
  <c r="BE8" i="7" l="1"/>
  <c r="BH8" i="7"/>
  <c r="BC8" i="7"/>
  <c r="BD8" i="7"/>
  <c r="DA8" i="7"/>
  <c r="CW8" i="7"/>
  <c r="CX8" i="7"/>
  <c r="CV8" i="7"/>
  <c r="K5" i="13"/>
  <c r="K6" i="13"/>
  <c r="K7" i="13"/>
  <c r="C6" i="13"/>
  <c r="C7" i="13"/>
  <c r="C5" i="13"/>
  <c r="E5" i="13"/>
  <c r="E6" i="13"/>
  <c r="E7" i="13"/>
  <c r="G7" i="13"/>
  <c r="G5" i="13"/>
  <c r="G6" i="13"/>
  <c r="I6" i="13"/>
  <c r="I7" i="13"/>
  <c r="I5" i="13"/>
  <c r="M5" i="13"/>
  <c r="M6" i="13"/>
  <c r="M7" i="13"/>
  <c r="O7" i="13"/>
  <c r="O5" i="13"/>
  <c r="O6" i="13"/>
  <c r="C20" i="13"/>
  <c r="C24" i="13"/>
  <c r="C8" i="13"/>
  <c r="C12" i="13"/>
  <c r="D4" i="13"/>
  <c r="C16" i="13"/>
  <c r="E12" i="13"/>
  <c r="E16" i="13"/>
  <c r="F4" i="13"/>
  <c r="E20" i="13"/>
  <c r="E24" i="13"/>
  <c r="E8" i="13"/>
  <c r="G20" i="13"/>
  <c r="G24" i="13"/>
  <c r="G8" i="13"/>
  <c r="G12" i="13"/>
  <c r="G16" i="13"/>
  <c r="H4" i="13"/>
  <c r="I12" i="13"/>
  <c r="I16" i="13"/>
  <c r="J4" i="13"/>
  <c r="I20" i="13"/>
  <c r="I24" i="13"/>
  <c r="I8" i="13"/>
  <c r="K20" i="13"/>
  <c r="K24" i="13"/>
  <c r="K8" i="13"/>
  <c r="K12" i="13"/>
  <c r="K16" i="13"/>
  <c r="L4" i="13"/>
  <c r="M12" i="13"/>
  <c r="M16" i="13"/>
  <c r="N4" i="13"/>
  <c r="M20" i="13"/>
  <c r="M24" i="13"/>
  <c r="M8" i="13"/>
  <c r="O20" i="13"/>
  <c r="O24" i="13"/>
  <c r="O8" i="13"/>
  <c r="O12" i="13"/>
  <c r="P4" i="13"/>
  <c r="O16" i="13"/>
  <c r="M13" i="13" l="1"/>
  <c r="M15" i="13"/>
  <c r="M14" i="13"/>
  <c r="O17" i="13"/>
  <c r="O19" i="13"/>
  <c r="O18" i="13"/>
  <c r="O26" i="13"/>
  <c r="O25" i="13"/>
  <c r="O27" i="13"/>
  <c r="M22" i="13"/>
  <c r="M21" i="13"/>
  <c r="M23" i="13"/>
  <c r="G26" i="13"/>
  <c r="G25" i="13"/>
  <c r="G27" i="13"/>
  <c r="E22" i="13"/>
  <c r="E21" i="13"/>
  <c r="E23" i="13"/>
  <c r="C19" i="13"/>
  <c r="C17" i="13"/>
  <c r="C18" i="13"/>
  <c r="C25" i="13"/>
  <c r="C27" i="13"/>
  <c r="C26" i="13"/>
  <c r="O22" i="13"/>
  <c r="O21" i="13"/>
  <c r="O23" i="13"/>
  <c r="G17" i="13"/>
  <c r="G19" i="13"/>
  <c r="G18" i="13"/>
  <c r="G22" i="13"/>
  <c r="G21" i="13"/>
  <c r="G23" i="13"/>
  <c r="C22" i="13"/>
  <c r="C23" i="13"/>
  <c r="C21" i="13"/>
  <c r="O10" i="13"/>
  <c r="O9" i="13"/>
  <c r="O11" i="13"/>
  <c r="M25" i="13"/>
  <c r="M27" i="13"/>
  <c r="M26" i="13"/>
  <c r="K11" i="13"/>
  <c r="K10" i="13"/>
  <c r="K9" i="13"/>
  <c r="I26" i="13"/>
  <c r="I25" i="13"/>
  <c r="I27" i="13"/>
  <c r="I14" i="13"/>
  <c r="I13" i="13"/>
  <c r="I15" i="13"/>
  <c r="G10" i="13"/>
  <c r="G9" i="13"/>
  <c r="G11" i="13"/>
  <c r="E25" i="13"/>
  <c r="E27" i="13"/>
  <c r="E26" i="13"/>
  <c r="E13" i="13"/>
  <c r="E15" i="13"/>
  <c r="E14" i="13"/>
  <c r="C9" i="13"/>
  <c r="C11" i="13"/>
  <c r="C10" i="13"/>
  <c r="K25" i="13"/>
  <c r="K27" i="13"/>
  <c r="K26" i="13"/>
  <c r="I21" i="13"/>
  <c r="I23" i="13"/>
  <c r="I22" i="13"/>
  <c r="K18" i="13"/>
  <c r="K17" i="13"/>
  <c r="K19" i="13"/>
  <c r="K21" i="13"/>
  <c r="K23" i="13"/>
  <c r="K22" i="13"/>
  <c r="O13" i="13"/>
  <c r="O15" i="13"/>
  <c r="O14" i="13"/>
  <c r="M9" i="13"/>
  <c r="M11" i="13"/>
  <c r="M10" i="13"/>
  <c r="M18" i="13"/>
  <c r="M17" i="13"/>
  <c r="M19" i="13"/>
  <c r="K14" i="13"/>
  <c r="K15" i="13"/>
  <c r="K13" i="13"/>
  <c r="I10" i="13"/>
  <c r="I9" i="13"/>
  <c r="I11" i="13"/>
  <c r="I17" i="13"/>
  <c r="I19" i="13"/>
  <c r="I18" i="13"/>
  <c r="G13" i="13"/>
  <c r="G15" i="13"/>
  <c r="G14" i="13"/>
  <c r="E9" i="13"/>
  <c r="E11" i="13"/>
  <c r="E10" i="13"/>
  <c r="E18" i="13"/>
  <c r="E17" i="13"/>
  <c r="E19" i="13"/>
  <c r="C13" i="13"/>
  <c r="C15" i="13"/>
  <c r="C14" i="13"/>
  <c r="P12" i="13"/>
  <c r="N24" i="13"/>
  <c r="L8" i="13"/>
  <c r="J8" i="13"/>
  <c r="J12" i="13"/>
  <c r="H12" i="13"/>
  <c r="F24" i="13"/>
  <c r="D16" i="13"/>
  <c r="D8" i="13"/>
  <c r="P16" i="13"/>
  <c r="P20" i="13"/>
  <c r="N16" i="13"/>
  <c r="L16" i="13"/>
  <c r="L24" i="13"/>
  <c r="H20" i="13"/>
  <c r="F16" i="13"/>
  <c r="D24" i="13"/>
  <c r="P8" i="13"/>
  <c r="N20" i="13"/>
  <c r="N12" i="13"/>
  <c r="J24" i="13"/>
  <c r="J16" i="13"/>
  <c r="H16" i="13"/>
  <c r="H8" i="13"/>
  <c r="F8" i="13"/>
  <c r="F20" i="13"/>
  <c r="F12" i="13"/>
  <c r="P24" i="13"/>
  <c r="N8" i="13"/>
  <c r="L12" i="13"/>
  <c r="L20" i="13"/>
  <c r="J20" i="13"/>
  <c r="H24" i="13"/>
  <c r="D12" i="13"/>
  <c r="D20" i="13"/>
  <c r="G33" i="9" l="1"/>
  <c r="G34" i="9"/>
  <c r="G35" i="9"/>
  <c r="M32" i="7" l="1"/>
  <c r="D33" i="9"/>
  <c r="H33" i="9" s="1"/>
  <c r="M34" i="7"/>
  <c r="D35" i="9"/>
  <c r="H35" i="9" s="1"/>
  <c r="M33" i="7"/>
  <c r="D34" i="9"/>
  <c r="H34" i="9" s="1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C5" i="7"/>
  <c r="C6" i="7"/>
  <c r="C7" i="7"/>
  <c r="C8" i="7"/>
  <c r="C4" i="7"/>
  <c r="C10" i="7"/>
  <c r="D38" i="9"/>
  <c r="D37" i="9"/>
  <c r="D36" i="9"/>
  <c r="O28" i="10"/>
  <c r="L4" i="7" l="1"/>
  <c r="D4" i="7"/>
  <c r="D7" i="7"/>
  <c r="D5" i="7"/>
  <c r="D8" i="7"/>
  <c r="D6" i="7"/>
  <c r="E28" i="10"/>
  <c r="M28" i="10"/>
  <c r="C28" i="10"/>
  <c r="K28" i="10"/>
  <c r="C1" i="10"/>
  <c r="C29" i="10" s="1"/>
  <c r="I28" i="10"/>
  <c r="G28" i="10"/>
  <c r="B24" i="7" l="1"/>
  <c r="B20" i="7"/>
  <c r="B21" i="7"/>
  <c r="AA5" i="7"/>
  <c r="CY5" i="7"/>
  <c r="DB5" i="7" s="1"/>
  <c r="CQ5" i="7"/>
  <c r="CT5" i="7" s="1"/>
  <c r="CI5" i="7"/>
  <c r="CL5" i="7" s="1"/>
  <c r="CY6" i="7"/>
  <c r="DB6" i="7" s="1"/>
  <c r="CQ6" i="7"/>
  <c r="CT6" i="7" s="1"/>
  <c r="CI6" i="7"/>
  <c r="CL6" i="7" s="1"/>
  <c r="CY7" i="7"/>
  <c r="DB7" i="7" s="1"/>
  <c r="CQ7" i="7"/>
  <c r="CT7" i="7" s="1"/>
  <c r="CY4" i="7"/>
  <c r="DB4" i="7" s="1"/>
  <c r="AH4" i="7"/>
  <c r="AK4" i="7" s="1"/>
  <c r="CQ4" i="7"/>
  <c r="CT4" i="7" s="1"/>
  <c r="CA5" i="7"/>
  <c r="CD5" i="7" s="1"/>
  <c r="CI4" i="7"/>
  <c r="CL4" i="7" s="1"/>
  <c r="CY8" i="7"/>
  <c r="DB8" i="7" s="1"/>
  <c r="CA4" i="7"/>
  <c r="CD4" i="7" s="1"/>
  <c r="CB6" i="7"/>
  <c r="AI6" i="7"/>
  <c r="BT5" i="7"/>
  <c r="AQ7" i="7"/>
  <c r="CJ7" i="7"/>
  <c r="CR8" i="7"/>
  <c r="CZ9" i="7"/>
  <c r="Z4" i="7"/>
  <c r="AC4" i="7" s="1"/>
  <c r="BS4" i="7"/>
  <c r="BV4" i="7" s="1"/>
  <c r="BF6" i="7"/>
  <c r="BI6" i="7" s="1"/>
  <c r="BF8" i="7"/>
  <c r="BI8" i="7" s="1"/>
  <c r="AP6" i="7"/>
  <c r="AS6" i="7" s="1"/>
  <c r="BF5" i="7"/>
  <c r="BI5" i="7" s="1"/>
  <c r="AX4" i="7"/>
  <c r="BA4" i="7" s="1"/>
  <c r="BF7" i="7"/>
  <c r="BI7" i="7" s="1"/>
  <c r="AP4" i="7"/>
  <c r="AS4" i="7" s="1"/>
  <c r="AX7" i="7"/>
  <c r="BA7" i="7" s="1"/>
  <c r="AH5" i="7"/>
  <c r="AK5" i="7" s="1"/>
  <c r="AX5" i="7"/>
  <c r="BA5" i="7" s="1"/>
  <c r="AP5" i="7"/>
  <c r="AS5" i="7" s="1"/>
  <c r="BF4" i="7"/>
  <c r="BI4" i="7" s="1"/>
  <c r="AX6" i="7"/>
  <c r="BA6" i="7" s="1"/>
  <c r="AI7" i="7"/>
  <c r="BG9" i="7"/>
  <c r="AY8" i="7"/>
  <c r="G6" i="7"/>
  <c r="CA6" i="7" s="1"/>
  <c r="J13" i="7"/>
  <c r="CY13" i="7" s="1"/>
  <c r="I10" i="7"/>
  <c r="CQ10" i="7" s="1"/>
  <c r="H9" i="7"/>
  <c r="CI9" i="7" s="1"/>
  <c r="J10" i="7"/>
  <c r="CY10" i="7" s="1"/>
  <c r="J9" i="7"/>
  <c r="CY9" i="7" s="1"/>
  <c r="I11" i="7"/>
  <c r="CQ11" i="7" s="1"/>
  <c r="J11" i="7"/>
  <c r="CY11" i="7" s="1"/>
  <c r="J12" i="7"/>
  <c r="CY12" i="7" s="1"/>
  <c r="I9" i="7"/>
  <c r="CQ9" i="7" s="1"/>
  <c r="H8" i="7"/>
  <c r="CI8" i="7" s="1"/>
  <c r="I8" i="7"/>
  <c r="CQ8" i="7" s="1"/>
  <c r="H7" i="7"/>
  <c r="CI7" i="7" s="1"/>
  <c r="G7" i="7"/>
  <c r="CA7" i="7" s="1"/>
  <c r="F5" i="7"/>
  <c r="M4" i="10"/>
  <c r="K4" i="10"/>
  <c r="L4" i="10" s="1"/>
  <c r="E4" i="10"/>
  <c r="O4" i="10"/>
  <c r="G4" i="10"/>
  <c r="H4" i="10" s="1"/>
  <c r="I4" i="10"/>
  <c r="C4" i="10"/>
  <c r="W5" i="7" l="1"/>
  <c r="CN8" i="7"/>
  <c r="CP8" i="7"/>
  <c r="CS8" i="7"/>
  <c r="CO8" i="7"/>
  <c r="CR9" i="7"/>
  <c r="CR10" i="7" s="1"/>
  <c r="CG7" i="7"/>
  <c r="CH7" i="7"/>
  <c r="CF7" i="7"/>
  <c r="CK7" i="7"/>
  <c r="CJ8" i="7"/>
  <c r="CJ9" i="7" s="1"/>
  <c r="CJ10" i="7" s="1"/>
  <c r="AR7" i="7"/>
  <c r="AO7" i="7"/>
  <c r="AQ8" i="7"/>
  <c r="AN7" i="7"/>
  <c r="AM7" i="7"/>
  <c r="BT6" i="7"/>
  <c r="BR5" i="7"/>
  <c r="CZ10" i="7"/>
  <c r="DA9" i="7"/>
  <c r="CX9" i="7"/>
  <c r="CW9" i="7"/>
  <c r="CV9" i="7"/>
  <c r="CB7" i="7"/>
  <c r="BY6" i="7"/>
  <c r="BX6" i="7"/>
  <c r="BZ6" i="7"/>
  <c r="CC6" i="7"/>
  <c r="BG10" i="7"/>
  <c r="BG11" i="7" s="1"/>
  <c r="BG12" i="7" s="1"/>
  <c r="BG13" i="7" s="1"/>
  <c r="BH9" i="7"/>
  <c r="BE9" i="7"/>
  <c r="BC9" i="7"/>
  <c r="BD9" i="7"/>
  <c r="AH6" i="7"/>
  <c r="AJ6" i="7"/>
  <c r="AI8" i="7"/>
  <c r="AE6" i="7"/>
  <c r="AF6" i="7"/>
  <c r="AG6" i="7"/>
  <c r="AH7" i="7"/>
  <c r="AF7" i="7"/>
  <c r="AE7" i="7"/>
  <c r="AJ7" i="7"/>
  <c r="AG7" i="7"/>
  <c r="AI9" i="7"/>
  <c r="BF13" i="7"/>
  <c r="AP8" i="7"/>
  <c r="BF12" i="7"/>
  <c r="BF11" i="7"/>
  <c r="AX8" i="7"/>
  <c r="AX11" i="7"/>
  <c r="AW8" i="7"/>
  <c r="AZ8" i="7"/>
  <c r="AU8" i="7"/>
  <c r="AY9" i="7"/>
  <c r="AY10" i="7" s="1"/>
  <c r="AY11" i="7" s="1"/>
  <c r="AV8" i="7"/>
  <c r="AX9" i="7"/>
  <c r="BF9" i="7"/>
  <c r="AA6" i="7"/>
  <c r="X5" i="7"/>
  <c r="AB5" i="7"/>
  <c r="Y5" i="7"/>
  <c r="AX10" i="7"/>
  <c r="BF10" i="7"/>
  <c r="AP7" i="7"/>
  <c r="BS5" i="7"/>
  <c r="Z5" i="7"/>
  <c r="G8" i="7"/>
  <c r="CA8" i="7" s="1"/>
  <c r="AP9" i="7"/>
  <c r="H10" i="7"/>
  <c r="CI10" i="7" s="1"/>
  <c r="H12" i="7"/>
  <c r="CI12" i="7" s="1"/>
  <c r="H11" i="7"/>
  <c r="G9" i="7"/>
  <c r="CA9" i="7" s="1"/>
  <c r="I15" i="7"/>
  <c r="CQ15" i="7" s="1"/>
  <c r="I13" i="7"/>
  <c r="CQ13" i="7" s="1"/>
  <c r="J14" i="7"/>
  <c r="CY14" i="7" s="1"/>
  <c r="I14" i="7"/>
  <c r="CQ14" i="7" s="1"/>
  <c r="I12" i="7"/>
  <c r="CQ12" i="7" s="1"/>
  <c r="J16" i="7"/>
  <c r="CY16" i="7" s="1"/>
  <c r="J17" i="7"/>
  <c r="CY17" i="7" s="1"/>
  <c r="J15" i="7"/>
  <c r="CY15" i="7" s="1"/>
  <c r="J18" i="7"/>
  <c r="CY18" i="7" s="1"/>
  <c r="F6" i="7"/>
  <c r="L5" i="7"/>
  <c r="K20" i="10"/>
  <c r="L20" i="10" s="1"/>
  <c r="E8" i="10"/>
  <c r="F8" i="10" s="1"/>
  <c r="C24" i="10"/>
  <c r="D24" i="10" s="1"/>
  <c r="K16" i="10"/>
  <c r="K8" i="10"/>
  <c r="L8" i="10" s="1"/>
  <c r="K24" i="10"/>
  <c r="C20" i="10"/>
  <c r="D20" i="10" s="1"/>
  <c r="K12" i="10"/>
  <c r="L12" i="10" s="1"/>
  <c r="M12" i="10"/>
  <c r="N12" i="10" s="1"/>
  <c r="M16" i="10"/>
  <c r="G12" i="10"/>
  <c r="H12" i="10" s="1"/>
  <c r="M8" i="10"/>
  <c r="N4" i="10"/>
  <c r="M20" i="10"/>
  <c r="C16" i="10"/>
  <c r="D16" i="10" s="1"/>
  <c r="M24" i="10"/>
  <c r="E16" i="10"/>
  <c r="G24" i="10"/>
  <c r="F4" i="10"/>
  <c r="E20" i="10"/>
  <c r="E12" i="10"/>
  <c r="E24" i="10"/>
  <c r="G8" i="10"/>
  <c r="H8" i="10" s="1"/>
  <c r="C8" i="10"/>
  <c r="D4" i="10"/>
  <c r="I12" i="10"/>
  <c r="I8" i="10"/>
  <c r="I24" i="10"/>
  <c r="I20" i="10"/>
  <c r="J4" i="10"/>
  <c r="I16" i="10"/>
  <c r="G16" i="10"/>
  <c r="G20" i="10"/>
  <c r="H20" i="10" s="1"/>
  <c r="C12" i="10"/>
  <c r="O16" i="10"/>
  <c r="O20" i="10"/>
  <c r="O24" i="10"/>
  <c r="P4" i="10"/>
  <c r="O8" i="10"/>
  <c r="O12" i="10"/>
  <c r="W6" i="7" l="1"/>
  <c r="CT8" i="7"/>
  <c r="CD6" i="7"/>
  <c r="AS7" i="7"/>
  <c r="DB9" i="7"/>
  <c r="CN10" i="7"/>
  <c r="CO10" i="7"/>
  <c r="CS10" i="7"/>
  <c r="CP10" i="7"/>
  <c r="BT7" i="7"/>
  <c r="BR6" i="7"/>
  <c r="BY7" i="7"/>
  <c r="CC7" i="7"/>
  <c r="BX7" i="7"/>
  <c r="BZ7" i="7"/>
  <c r="CR11" i="7"/>
  <c r="CR12" i="7" s="1"/>
  <c r="CR13" i="7" s="1"/>
  <c r="AQ9" i="7"/>
  <c r="AN8" i="7"/>
  <c r="AO8" i="7"/>
  <c r="AM8" i="7"/>
  <c r="AR8" i="7"/>
  <c r="AP11" i="7"/>
  <c r="CI11" i="7"/>
  <c r="CN9" i="7"/>
  <c r="CO9" i="7"/>
  <c r="CS9" i="7"/>
  <c r="CP9" i="7"/>
  <c r="CG10" i="7"/>
  <c r="CK10" i="7"/>
  <c r="CH10" i="7"/>
  <c r="CF10" i="7"/>
  <c r="BI9" i="7"/>
  <c r="CG9" i="7"/>
  <c r="CK9" i="7"/>
  <c r="CF9" i="7"/>
  <c r="CH9" i="7"/>
  <c r="CF8" i="7"/>
  <c r="CG8" i="7"/>
  <c r="CH8" i="7"/>
  <c r="CK8" i="7"/>
  <c r="CJ11" i="7"/>
  <c r="CJ12" i="7" s="1"/>
  <c r="CJ13" i="7" s="1"/>
  <c r="CB8" i="7"/>
  <c r="CZ11" i="7"/>
  <c r="CV10" i="7"/>
  <c r="CW10" i="7"/>
  <c r="CX10" i="7"/>
  <c r="DA10" i="7"/>
  <c r="CL7" i="7"/>
  <c r="AK6" i="7"/>
  <c r="AW11" i="7"/>
  <c r="AV11" i="7"/>
  <c r="AU11" i="7"/>
  <c r="AZ11" i="7"/>
  <c r="BD13" i="7"/>
  <c r="BE13" i="7"/>
  <c r="BC13" i="7"/>
  <c r="BH13" i="7"/>
  <c r="BF16" i="7"/>
  <c r="AC5" i="7"/>
  <c r="AB6" i="7"/>
  <c r="AA7" i="7"/>
  <c r="X6" i="7"/>
  <c r="Y6" i="7"/>
  <c r="BU5" i="7"/>
  <c r="BV5" i="7" s="1"/>
  <c r="BQ5" i="7"/>
  <c r="BP5" i="7"/>
  <c r="BG14" i="7"/>
  <c r="AX12" i="7"/>
  <c r="BF14" i="7"/>
  <c r="AF8" i="7"/>
  <c r="AJ8" i="7"/>
  <c r="AE8" i="7"/>
  <c r="AI10" i="7"/>
  <c r="AG8" i="7"/>
  <c r="BE12" i="7"/>
  <c r="BD12" i="7"/>
  <c r="BC12" i="7"/>
  <c r="BH12" i="7"/>
  <c r="AH8" i="7"/>
  <c r="AX14" i="7"/>
  <c r="AX15" i="7"/>
  <c r="G10" i="7"/>
  <c r="CA10" i="7" s="1"/>
  <c r="AG9" i="7"/>
  <c r="AJ9" i="7"/>
  <c r="AF9" i="7"/>
  <c r="AE9" i="7"/>
  <c r="AI11" i="7"/>
  <c r="AP10" i="7"/>
  <c r="AY12" i="7"/>
  <c r="BA8" i="7"/>
  <c r="AK7" i="7"/>
  <c r="BD11" i="7"/>
  <c r="BH11" i="7"/>
  <c r="BE11" i="7"/>
  <c r="BC11" i="7"/>
  <c r="AP12" i="7"/>
  <c r="AW10" i="7"/>
  <c r="AV10" i="7"/>
  <c r="AU10" i="7"/>
  <c r="AZ10" i="7"/>
  <c r="AX13" i="7"/>
  <c r="BS6" i="7"/>
  <c r="Z6" i="7"/>
  <c r="BF18" i="7"/>
  <c r="AH9" i="7"/>
  <c r="BF17" i="7"/>
  <c r="BF15" i="7"/>
  <c r="AZ9" i="7"/>
  <c r="AV9" i="7"/>
  <c r="AU9" i="7"/>
  <c r="AW9" i="7"/>
  <c r="BC10" i="7"/>
  <c r="BD10" i="7"/>
  <c r="BE10" i="7"/>
  <c r="BH10" i="7"/>
  <c r="H15" i="7"/>
  <c r="CI15" i="7" s="1"/>
  <c r="G11" i="7"/>
  <c r="CA11" i="7" s="1"/>
  <c r="H14" i="7"/>
  <c r="CI14" i="7" s="1"/>
  <c r="H13" i="7"/>
  <c r="CI13" i="7" s="1"/>
  <c r="J20" i="7"/>
  <c r="CY20" i="7" s="1"/>
  <c r="J22" i="7"/>
  <c r="CY22" i="7" s="1"/>
  <c r="I19" i="7"/>
  <c r="CQ19" i="7" s="1"/>
  <c r="I16" i="7"/>
  <c r="CQ16" i="7" s="1"/>
  <c r="I17" i="7"/>
  <c r="CQ17" i="7" s="1"/>
  <c r="I18" i="7"/>
  <c r="CQ18" i="7" s="1"/>
  <c r="J23" i="7"/>
  <c r="CY23" i="7" s="1"/>
  <c r="J21" i="7"/>
  <c r="CY21" i="7" s="1"/>
  <c r="J19" i="7"/>
  <c r="CY19" i="7" s="1"/>
  <c r="F7" i="7"/>
  <c r="L6" i="7"/>
  <c r="L16" i="10"/>
  <c r="N24" i="10"/>
  <c r="L24" i="10"/>
  <c r="N8" i="10"/>
  <c r="F16" i="10"/>
  <c r="D8" i="10"/>
  <c r="N16" i="10"/>
  <c r="N20" i="10"/>
  <c r="D12" i="10"/>
  <c r="H24" i="10"/>
  <c r="F12" i="10"/>
  <c r="F20" i="10"/>
  <c r="H16" i="10"/>
  <c r="F24" i="10"/>
  <c r="P20" i="10"/>
  <c r="J8" i="10"/>
  <c r="P12" i="10"/>
  <c r="P24" i="10"/>
  <c r="P16" i="10"/>
  <c r="J12" i="10"/>
  <c r="J16" i="10"/>
  <c r="J20" i="10"/>
  <c r="P8" i="10"/>
  <c r="J24" i="10"/>
  <c r="W7" i="7" l="1"/>
  <c r="DB10" i="7"/>
  <c r="CL8" i="7"/>
  <c r="CT10" i="7"/>
  <c r="CT9" i="7"/>
  <c r="CD7" i="7"/>
  <c r="AS8" i="7"/>
  <c r="CJ14" i="7"/>
  <c r="CJ15" i="7" s="1"/>
  <c r="CH13" i="7"/>
  <c r="CF13" i="7"/>
  <c r="CG13" i="7"/>
  <c r="CK13" i="7"/>
  <c r="BT8" i="7"/>
  <c r="BR7" i="7"/>
  <c r="CL10" i="7"/>
  <c r="CN12" i="7"/>
  <c r="CS12" i="7"/>
  <c r="CP12" i="7"/>
  <c r="CO12" i="7"/>
  <c r="CF12" i="7"/>
  <c r="CG12" i="7"/>
  <c r="CH12" i="7"/>
  <c r="CK12" i="7"/>
  <c r="CR14" i="7"/>
  <c r="H18" i="7"/>
  <c r="CI18" i="7" s="1"/>
  <c r="CS13" i="7"/>
  <c r="CP13" i="7"/>
  <c r="CN13" i="7"/>
  <c r="CO13" i="7"/>
  <c r="AO9" i="7"/>
  <c r="AM9" i="7"/>
  <c r="AN9" i="7"/>
  <c r="AR9" i="7"/>
  <c r="AQ10" i="7"/>
  <c r="CL9" i="7"/>
  <c r="DA11" i="7"/>
  <c r="CW11" i="7"/>
  <c r="CX11" i="7"/>
  <c r="CV11" i="7"/>
  <c r="CZ12" i="7"/>
  <c r="CZ13" i="7" s="1"/>
  <c r="CP11" i="7"/>
  <c r="CS11" i="7"/>
  <c r="CN11" i="7"/>
  <c r="CO11" i="7"/>
  <c r="CB9" i="7"/>
  <c r="CB10" i="7" s="1"/>
  <c r="BZ10" i="7" s="1"/>
  <c r="BY8" i="7"/>
  <c r="CC8" i="7"/>
  <c r="BX8" i="7"/>
  <c r="BZ8" i="7"/>
  <c r="CG11" i="7"/>
  <c r="CF11" i="7"/>
  <c r="CH11" i="7"/>
  <c r="CK11" i="7"/>
  <c r="BI13" i="7"/>
  <c r="BI10" i="7"/>
  <c r="BA11" i="7"/>
  <c r="AC6" i="7"/>
  <c r="BA10" i="7"/>
  <c r="BI11" i="7"/>
  <c r="BA9" i="7"/>
  <c r="BU6" i="7"/>
  <c r="BV6" i="7" s="1"/>
  <c r="BQ6" i="7"/>
  <c r="BP6" i="7"/>
  <c r="AH10" i="7"/>
  <c r="BG15" i="7"/>
  <c r="BG16" i="7" s="1"/>
  <c r="BG17" i="7" s="1"/>
  <c r="AY13" i="7"/>
  <c r="AV12" i="7"/>
  <c r="AU12" i="7"/>
  <c r="AW12" i="7"/>
  <c r="AZ12" i="7"/>
  <c r="AG10" i="7"/>
  <c r="AI12" i="7"/>
  <c r="AJ10" i="7"/>
  <c r="AF10" i="7"/>
  <c r="AE10" i="7"/>
  <c r="BF19" i="7"/>
  <c r="AP14" i="7"/>
  <c r="BF23" i="7"/>
  <c r="AH11" i="7"/>
  <c r="AP15" i="7"/>
  <c r="Z7" i="7"/>
  <c r="BS7" i="7"/>
  <c r="AI13" i="7"/>
  <c r="AF11" i="7"/>
  <c r="AG11" i="7"/>
  <c r="AE11" i="7"/>
  <c r="AJ11" i="7"/>
  <c r="AK8" i="7"/>
  <c r="AX17" i="7"/>
  <c r="AX19" i="7"/>
  <c r="X7" i="7"/>
  <c r="Y7" i="7"/>
  <c r="AB7" i="7"/>
  <c r="AA8" i="7"/>
  <c r="BD14" i="7"/>
  <c r="BH14" i="7"/>
  <c r="BE14" i="7"/>
  <c r="BC14" i="7"/>
  <c r="BF21" i="7"/>
  <c r="AX16" i="7"/>
  <c r="BF22" i="7"/>
  <c r="BF20" i="7"/>
  <c r="AK9" i="7"/>
  <c r="AP13" i="7"/>
  <c r="AX18" i="7"/>
  <c r="G12" i="7"/>
  <c r="CA12" i="7" s="1"/>
  <c r="BI12" i="7"/>
  <c r="H17" i="7"/>
  <c r="CI17" i="7" s="1"/>
  <c r="G13" i="7"/>
  <c r="H16" i="7"/>
  <c r="CI16" i="7" s="1"/>
  <c r="J26" i="7"/>
  <c r="CY26" i="7" s="1"/>
  <c r="J27" i="7"/>
  <c r="CY27" i="7" s="1"/>
  <c r="I22" i="7"/>
  <c r="CQ22" i="7" s="1"/>
  <c r="I23" i="7"/>
  <c r="CQ23" i="7" s="1"/>
  <c r="J25" i="7"/>
  <c r="CY25" i="7" s="1"/>
  <c r="J28" i="7"/>
  <c r="CY28" i="7" s="1"/>
  <c r="I20" i="7"/>
  <c r="CQ20" i="7" s="1"/>
  <c r="J24" i="7"/>
  <c r="CY24" i="7" s="1"/>
  <c r="I21" i="7"/>
  <c r="CQ21" i="7" s="1"/>
  <c r="F8" i="7"/>
  <c r="L7" i="7"/>
  <c r="W8" i="7" l="1"/>
  <c r="H20" i="7"/>
  <c r="CI20" i="7" s="1"/>
  <c r="H21" i="7"/>
  <c r="CI21" i="7" s="1"/>
  <c r="AP18" i="7"/>
  <c r="CT11" i="7"/>
  <c r="BZ9" i="7"/>
  <c r="CL12" i="7"/>
  <c r="AS9" i="7"/>
  <c r="BA12" i="7"/>
  <c r="CC9" i="7"/>
  <c r="CT12" i="7"/>
  <c r="DB11" i="7"/>
  <c r="CT13" i="7"/>
  <c r="CL13" i="7"/>
  <c r="CL11" i="7"/>
  <c r="CC10" i="7"/>
  <c r="CD10" i="7" s="1"/>
  <c r="CR15" i="7"/>
  <c r="CS14" i="7"/>
  <c r="CP14" i="7"/>
  <c r="CN14" i="7"/>
  <c r="CO14" i="7"/>
  <c r="CZ14" i="7"/>
  <c r="DA13" i="7"/>
  <c r="CV13" i="7"/>
  <c r="CX13" i="7"/>
  <c r="CW13" i="7"/>
  <c r="BR8" i="7"/>
  <c r="BT9" i="7"/>
  <c r="CK15" i="7"/>
  <c r="CF15" i="7"/>
  <c r="CH15" i="7"/>
  <c r="CG15" i="7"/>
  <c r="CV12" i="7"/>
  <c r="CW12" i="7"/>
  <c r="CX12" i="7"/>
  <c r="DA12" i="7"/>
  <c r="CJ16" i="7"/>
  <c r="BX10" i="7"/>
  <c r="BY10" i="7"/>
  <c r="G15" i="7"/>
  <c r="CA15" i="7" s="1"/>
  <c r="CA13" i="7"/>
  <c r="CD8" i="7"/>
  <c r="AR10" i="7"/>
  <c r="AM10" i="7"/>
  <c r="AN10" i="7"/>
  <c r="AO10" i="7"/>
  <c r="AQ11" i="7"/>
  <c r="CH14" i="7"/>
  <c r="CF14" i="7"/>
  <c r="CG14" i="7"/>
  <c r="CK14" i="7"/>
  <c r="BX9" i="7"/>
  <c r="CB11" i="7"/>
  <c r="CB12" i="7" s="1"/>
  <c r="BY9" i="7"/>
  <c r="BI14" i="7"/>
  <c r="AK10" i="7"/>
  <c r="AC7" i="7"/>
  <c r="BD17" i="7"/>
  <c r="BH17" i="7"/>
  <c r="BE17" i="7"/>
  <c r="BC17" i="7"/>
  <c r="AA9" i="7"/>
  <c r="Y8" i="7"/>
  <c r="X8" i="7"/>
  <c r="AB8" i="7"/>
  <c r="BE15" i="7"/>
  <c r="BC15" i="7"/>
  <c r="BD15" i="7"/>
  <c r="BH15" i="7"/>
  <c r="BF25" i="7"/>
  <c r="AG12" i="7"/>
  <c r="AE12" i="7"/>
  <c r="AF12" i="7"/>
  <c r="AJ12" i="7"/>
  <c r="AI14" i="7"/>
  <c r="AK11" i="7"/>
  <c r="AF13" i="7"/>
  <c r="AE13" i="7"/>
  <c r="AG13" i="7"/>
  <c r="AJ13" i="7"/>
  <c r="AI15" i="7"/>
  <c r="AH12" i="7"/>
  <c r="BU7" i="7"/>
  <c r="BV7" i="7" s="1"/>
  <c r="BQ7" i="7"/>
  <c r="BP7" i="7"/>
  <c r="AX23" i="7"/>
  <c r="AX22" i="7"/>
  <c r="BS8" i="7"/>
  <c r="Z8" i="7"/>
  <c r="AX21" i="7"/>
  <c r="AP16" i="7"/>
  <c r="AH13" i="7"/>
  <c r="AP21" i="7"/>
  <c r="BF27" i="7"/>
  <c r="BF26" i="7"/>
  <c r="G14" i="7"/>
  <c r="CA14" i="7" s="1"/>
  <c r="BF24" i="7"/>
  <c r="AP17" i="7"/>
  <c r="BF28" i="7"/>
  <c r="BC16" i="7"/>
  <c r="BE16" i="7"/>
  <c r="BH16" i="7"/>
  <c r="BD16" i="7"/>
  <c r="AX20" i="7"/>
  <c r="AW13" i="7"/>
  <c r="AU13" i="7"/>
  <c r="AV13" i="7"/>
  <c r="AZ13" i="7"/>
  <c r="AY14" i="7"/>
  <c r="BG18" i="7"/>
  <c r="H19" i="7"/>
  <c r="CI19" i="7" s="1"/>
  <c r="J33" i="7"/>
  <c r="CY33" i="7" s="1"/>
  <c r="I25" i="7"/>
  <c r="CQ25" i="7" s="1"/>
  <c r="J29" i="7"/>
  <c r="CY29" i="7" s="1"/>
  <c r="I24" i="7"/>
  <c r="CQ24" i="7" s="1"/>
  <c r="H24" i="7"/>
  <c r="CI24" i="7" s="1"/>
  <c r="J32" i="7"/>
  <c r="CY32" i="7" s="1"/>
  <c r="I26" i="7"/>
  <c r="CQ26" i="7" s="1"/>
  <c r="J30" i="7"/>
  <c r="CY30" i="7" s="1"/>
  <c r="I27" i="7"/>
  <c r="CQ27" i="7" s="1"/>
  <c r="J31" i="7"/>
  <c r="CY31" i="7" s="1"/>
  <c r="F9" i="7"/>
  <c r="L8" i="7"/>
  <c r="H23" i="7" l="1"/>
  <c r="CI23" i="7" s="1"/>
  <c r="AP20" i="7"/>
  <c r="W9" i="7"/>
  <c r="CD9" i="7"/>
  <c r="G16" i="7"/>
  <c r="CA16" i="7" s="1"/>
  <c r="CT14" i="7"/>
  <c r="DB13" i="7"/>
  <c r="DB12" i="7"/>
  <c r="BZ11" i="7"/>
  <c r="CL15" i="7"/>
  <c r="CL14" i="7"/>
  <c r="CZ15" i="7"/>
  <c r="CX14" i="7"/>
  <c r="CV14" i="7"/>
  <c r="CW14" i="7"/>
  <c r="DA14" i="7"/>
  <c r="CB13" i="7"/>
  <c r="CB14" i="7" s="1"/>
  <c r="CC14" i="7" s="1"/>
  <c r="BX12" i="7"/>
  <c r="BY12" i="7"/>
  <c r="BZ12" i="7"/>
  <c r="CC12" i="7"/>
  <c r="AO11" i="7"/>
  <c r="AM11" i="7"/>
  <c r="AR11" i="7"/>
  <c r="AN11" i="7"/>
  <c r="BT10" i="7"/>
  <c r="BR9" i="7"/>
  <c r="CK16" i="7"/>
  <c r="CF16" i="7"/>
  <c r="CH16" i="7"/>
  <c r="CG16" i="7"/>
  <c r="CS15" i="7"/>
  <c r="CO15" i="7"/>
  <c r="CP15" i="7"/>
  <c r="CN15" i="7"/>
  <c r="BY11" i="7"/>
  <c r="BX11" i="7"/>
  <c r="AS10" i="7"/>
  <c r="AQ12" i="7"/>
  <c r="AQ13" i="7" s="1"/>
  <c r="AH15" i="7"/>
  <c r="G17" i="7"/>
  <c r="CA17" i="7" s="1"/>
  <c r="CC11" i="7"/>
  <c r="CJ17" i="7"/>
  <c r="CJ18" i="7" s="1"/>
  <c r="CR16" i="7"/>
  <c r="BI16" i="7"/>
  <c r="BI15" i="7"/>
  <c r="BI17" i="7"/>
  <c r="AC8" i="7"/>
  <c r="AK13" i="7"/>
  <c r="BF30" i="7"/>
  <c r="Y9" i="7"/>
  <c r="AB9" i="7"/>
  <c r="X9" i="7"/>
  <c r="AA10" i="7"/>
  <c r="AP24" i="7"/>
  <c r="BG19" i="7"/>
  <c r="BF32" i="7"/>
  <c r="AX27" i="7"/>
  <c r="AX26" i="7"/>
  <c r="BF29" i="7"/>
  <c r="BU8" i="7"/>
  <c r="BV8" i="7" s="1"/>
  <c r="BQ8" i="7"/>
  <c r="BP8" i="7"/>
  <c r="AH16" i="7"/>
  <c r="BC18" i="7"/>
  <c r="BD18" i="7"/>
  <c r="BE18" i="7"/>
  <c r="BH18" i="7"/>
  <c r="AF14" i="7"/>
  <c r="AG14" i="7"/>
  <c r="AE14" i="7"/>
  <c r="AJ14" i="7"/>
  <c r="AI16" i="7"/>
  <c r="AX24" i="7"/>
  <c r="BF33" i="7"/>
  <c r="AZ14" i="7"/>
  <c r="AU14" i="7"/>
  <c r="AW14" i="7"/>
  <c r="AV14" i="7"/>
  <c r="AY15" i="7"/>
  <c r="AY16" i="7" s="1"/>
  <c r="AH14" i="7"/>
  <c r="AJ15" i="7"/>
  <c r="AE15" i="7"/>
  <c r="AF15" i="7"/>
  <c r="AI17" i="7"/>
  <c r="AG15" i="7"/>
  <c r="AK12" i="7"/>
  <c r="AP19" i="7"/>
  <c r="BA13" i="7"/>
  <c r="AX25" i="7"/>
  <c r="Z9" i="7"/>
  <c r="BS9" i="7"/>
  <c r="BF31" i="7"/>
  <c r="H22" i="7"/>
  <c r="CI22" i="7" s="1"/>
  <c r="G18" i="7"/>
  <c r="CA18" i="7" s="1"/>
  <c r="J37" i="7"/>
  <c r="CY37" i="7" s="1"/>
  <c r="J34" i="7"/>
  <c r="CY34" i="7" s="1"/>
  <c r="J36" i="7"/>
  <c r="CY36" i="7" s="1"/>
  <c r="I28" i="7"/>
  <c r="CQ28" i="7" s="1"/>
  <c r="I29" i="7"/>
  <c r="CQ29" i="7" s="1"/>
  <c r="J35" i="7"/>
  <c r="CY35" i="7" s="1"/>
  <c r="I30" i="7"/>
  <c r="CQ30" i="7" s="1"/>
  <c r="I31" i="7"/>
  <c r="CQ31" i="7" s="1"/>
  <c r="H27" i="7"/>
  <c r="CI27" i="7" s="1"/>
  <c r="J38" i="7"/>
  <c r="CY38" i="7" s="1"/>
  <c r="F10" i="7"/>
  <c r="L9" i="7"/>
  <c r="AH17" i="7" l="1"/>
  <c r="AP23" i="7"/>
  <c r="H26" i="7"/>
  <c r="CI26" i="7" s="1"/>
  <c r="G19" i="7"/>
  <c r="CA19" i="7" s="1"/>
  <c r="W10" i="7"/>
  <c r="CT15" i="7"/>
  <c r="CD11" i="7"/>
  <c r="AS11" i="7"/>
  <c r="CL16" i="7"/>
  <c r="DB14" i="7"/>
  <c r="AN13" i="7"/>
  <c r="AM13" i="7"/>
  <c r="AR13" i="7"/>
  <c r="AO13" i="7"/>
  <c r="CG18" i="7"/>
  <c r="CK18" i="7"/>
  <c r="CH18" i="7"/>
  <c r="CF18" i="7"/>
  <c r="AR12" i="7"/>
  <c r="AO12" i="7"/>
  <c r="AM12" i="7"/>
  <c r="AN12" i="7"/>
  <c r="BY13" i="7"/>
  <c r="BX13" i="7"/>
  <c r="CB15" i="7"/>
  <c r="CB16" i="7" s="1"/>
  <c r="CC13" i="7"/>
  <c r="BZ13" i="7"/>
  <c r="BT11" i="7"/>
  <c r="BR10" i="7"/>
  <c r="CR17" i="7"/>
  <c r="CS16" i="7"/>
  <c r="CN16" i="7"/>
  <c r="CP16" i="7"/>
  <c r="CO16" i="7"/>
  <c r="AQ14" i="7"/>
  <c r="CG17" i="7"/>
  <c r="CK17" i="7"/>
  <c r="CF17" i="7"/>
  <c r="CH17" i="7"/>
  <c r="CJ19" i="7"/>
  <c r="CJ20" i="7" s="1"/>
  <c r="BY14" i="7"/>
  <c r="BX14" i="7"/>
  <c r="BZ14" i="7"/>
  <c r="CD14" i="7" s="1"/>
  <c r="CW15" i="7"/>
  <c r="CX15" i="7"/>
  <c r="CV15" i="7"/>
  <c r="DA15" i="7"/>
  <c r="CZ16" i="7"/>
  <c r="CZ17" i="7" s="1"/>
  <c r="CD12" i="7"/>
  <c r="BI18" i="7"/>
  <c r="AK14" i="7"/>
  <c r="AB10" i="7"/>
  <c r="X10" i="7"/>
  <c r="AA11" i="7"/>
  <c r="Y10" i="7"/>
  <c r="AJ17" i="7"/>
  <c r="AE17" i="7"/>
  <c r="AI19" i="7"/>
  <c r="AF17" i="7"/>
  <c r="AG17" i="7"/>
  <c r="BA14" i="7"/>
  <c r="AH18" i="7"/>
  <c r="AC9" i="7"/>
  <c r="BE19" i="7"/>
  <c r="BD19" i="7"/>
  <c r="BH19" i="7"/>
  <c r="BC19" i="7"/>
  <c r="AX30" i="7"/>
  <c r="BS10" i="7"/>
  <c r="Z10" i="7"/>
  <c r="AP22" i="7"/>
  <c r="AE16" i="7"/>
  <c r="AG16" i="7"/>
  <c r="AI18" i="7"/>
  <c r="AF16" i="7"/>
  <c r="AJ16" i="7"/>
  <c r="AX31" i="7"/>
  <c r="AX29" i="7"/>
  <c r="BF38" i="7"/>
  <c r="AP27" i="7"/>
  <c r="AX28" i="7"/>
  <c r="AY17" i="7"/>
  <c r="AZ16" i="7"/>
  <c r="AW16" i="7"/>
  <c r="AV16" i="7"/>
  <c r="AU16" i="7"/>
  <c r="BF36" i="7"/>
  <c r="AV15" i="7"/>
  <c r="AZ15" i="7"/>
  <c r="AU15" i="7"/>
  <c r="AW15" i="7"/>
  <c r="AK15" i="7"/>
  <c r="BU9" i="7"/>
  <c r="BV9" i="7" s="1"/>
  <c r="BP9" i="7"/>
  <c r="BQ9" i="7"/>
  <c r="BF34" i="7"/>
  <c r="BF35" i="7"/>
  <c r="BF37" i="7"/>
  <c r="BG20" i="7"/>
  <c r="H25" i="7"/>
  <c r="CI25" i="7" s="1"/>
  <c r="G20" i="7"/>
  <c r="CA20" i="7" s="1"/>
  <c r="I35" i="7"/>
  <c r="CQ35" i="7" s="1"/>
  <c r="J40" i="7"/>
  <c r="CY40" i="7" s="1"/>
  <c r="J42" i="7"/>
  <c r="CY42" i="7" s="1"/>
  <c r="I34" i="7"/>
  <c r="CQ34" i="7" s="1"/>
  <c r="J43" i="7"/>
  <c r="CY43" i="7" s="1"/>
  <c r="I32" i="7"/>
  <c r="CQ32" i="7" s="1"/>
  <c r="J41" i="7"/>
  <c r="CY41" i="7" s="1"/>
  <c r="J39" i="7"/>
  <c r="CY39" i="7" s="1"/>
  <c r="H30" i="7"/>
  <c r="CI30" i="7" s="1"/>
  <c r="I33" i="7"/>
  <c r="CQ33" i="7" s="1"/>
  <c r="H29" i="7"/>
  <c r="CI29" i="7" s="1"/>
  <c r="F11" i="7"/>
  <c r="L10" i="7"/>
  <c r="AP26" i="7" l="1"/>
  <c r="AH19" i="7"/>
  <c r="G21" i="7"/>
  <c r="CA21" i="7" s="1"/>
  <c r="W11" i="7"/>
  <c r="CT16" i="7"/>
  <c r="CL17" i="7"/>
  <c r="CC15" i="7"/>
  <c r="AS13" i="7"/>
  <c r="DB15" i="7"/>
  <c r="CL18" i="7"/>
  <c r="CD13" i="7"/>
  <c r="CJ21" i="7"/>
  <c r="CJ22" i="7" s="1"/>
  <c r="CH20" i="7"/>
  <c r="CK20" i="7"/>
  <c r="AS12" i="7"/>
  <c r="BZ15" i="7"/>
  <c r="DA17" i="7"/>
  <c r="CW17" i="7"/>
  <c r="CX17" i="7"/>
  <c r="CV17" i="7"/>
  <c r="CN17" i="7"/>
  <c r="CP17" i="7"/>
  <c r="CS17" i="7"/>
  <c r="CO17" i="7"/>
  <c r="BT12" i="7"/>
  <c r="BR11" i="7"/>
  <c r="CF20" i="7"/>
  <c r="AN14" i="7"/>
  <c r="AR14" i="7"/>
  <c r="AO14" i="7"/>
  <c r="AM14" i="7"/>
  <c r="CG20" i="7"/>
  <c r="CR18" i="7"/>
  <c r="BY15" i="7"/>
  <c r="BX15" i="7"/>
  <c r="CB17" i="7"/>
  <c r="CB18" i="7" s="1"/>
  <c r="BY16" i="7"/>
  <c r="BX16" i="7"/>
  <c r="CC16" i="7"/>
  <c r="BZ16" i="7"/>
  <c r="CW16" i="7"/>
  <c r="CX16" i="7"/>
  <c r="DA16" i="7"/>
  <c r="CV16" i="7"/>
  <c r="CZ18" i="7"/>
  <c r="CG19" i="7"/>
  <c r="CH19" i="7"/>
  <c r="CK19" i="7"/>
  <c r="CF19" i="7"/>
  <c r="AQ15" i="7"/>
  <c r="BA15" i="7"/>
  <c r="AK17" i="7"/>
  <c r="BA16" i="7"/>
  <c r="AK16" i="7"/>
  <c r="BI19" i="7"/>
  <c r="BF41" i="7"/>
  <c r="BF43" i="7"/>
  <c r="AZ17" i="7"/>
  <c r="AW17" i="7"/>
  <c r="AV17" i="7"/>
  <c r="AU17" i="7"/>
  <c r="BU10" i="7"/>
  <c r="BV10" i="7" s="1"/>
  <c r="BQ10" i="7"/>
  <c r="BP10" i="7"/>
  <c r="BF40" i="7"/>
  <c r="AX35" i="7"/>
  <c r="Z11" i="7"/>
  <c r="BS11" i="7"/>
  <c r="BD20" i="7"/>
  <c r="BC20" i="7"/>
  <c r="BE20" i="7"/>
  <c r="BH20" i="7"/>
  <c r="AE18" i="7"/>
  <c r="AF18" i="7"/>
  <c r="AI20" i="7"/>
  <c r="AG18" i="7"/>
  <c r="AJ18" i="7"/>
  <c r="Y11" i="7"/>
  <c r="X11" i="7"/>
  <c r="AA12" i="7"/>
  <c r="AB11" i="7"/>
  <c r="AJ19" i="7"/>
  <c r="AE19" i="7"/>
  <c r="AF19" i="7"/>
  <c r="AI21" i="7"/>
  <c r="AG19" i="7"/>
  <c r="AP29" i="7"/>
  <c r="AX32" i="7"/>
  <c r="AX34" i="7"/>
  <c r="AH20" i="7"/>
  <c r="AC10" i="7"/>
  <c r="AX33" i="7"/>
  <c r="AP30" i="7"/>
  <c r="AY18" i="7"/>
  <c r="BF42" i="7"/>
  <c r="AP25" i="7"/>
  <c r="BF39" i="7"/>
  <c r="BG21" i="7"/>
  <c r="G22" i="7"/>
  <c r="CA22" i="7" s="1"/>
  <c r="H28" i="7"/>
  <c r="CI28" i="7" s="1"/>
  <c r="I38" i="7"/>
  <c r="CQ38" i="7" s="1"/>
  <c r="I37" i="7"/>
  <c r="CQ37" i="7" s="1"/>
  <c r="J48" i="7"/>
  <c r="CY48" i="7" s="1"/>
  <c r="J45" i="7"/>
  <c r="CY45" i="7" s="1"/>
  <c r="I39" i="7"/>
  <c r="CQ39" i="7" s="1"/>
  <c r="H32" i="7"/>
  <c r="CI32" i="7" s="1"/>
  <c r="J47" i="7"/>
  <c r="CY47" i="7" s="1"/>
  <c r="H33" i="7"/>
  <c r="CI33" i="7" s="1"/>
  <c r="I36" i="7"/>
  <c r="CQ36" i="7" s="1"/>
  <c r="J44" i="7"/>
  <c r="CY44" i="7" s="1"/>
  <c r="J46" i="7"/>
  <c r="CY46" i="7" s="1"/>
  <c r="F12" i="7"/>
  <c r="L11" i="7"/>
  <c r="G23" i="7" l="1"/>
  <c r="CA23" i="7" s="1"/>
  <c r="AH21" i="7"/>
  <c r="W12" i="7"/>
  <c r="CD15" i="7"/>
  <c r="CL20" i="7"/>
  <c r="DB16" i="7"/>
  <c r="CF21" i="7"/>
  <c r="CH21" i="7"/>
  <c r="CG21" i="7"/>
  <c r="CK21" i="7"/>
  <c r="DB17" i="7"/>
  <c r="BA17" i="7"/>
  <c r="CD16" i="7"/>
  <c r="CT17" i="7"/>
  <c r="AS14" i="7"/>
  <c r="CB19" i="7"/>
  <c r="CC19" i="7" s="1"/>
  <c r="BY18" i="7"/>
  <c r="BX18" i="7"/>
  <c r="BZ18" i="7"/>
  <c r="CC18" i="7"/>
  <c r="CR19" i="7"/>
  <c r="CR20" i="7" s="1"/>
  <c r="CN18" i="7"/>
  <c r="CP18" i="7"/>
  <c r="CS18" i="7"/>
  <c r="CO18" i="7"/>
  <c r="AQ16" i="7"/>
  <c r="AQ17" i="7" s="1"/>
  <c r="AN15" i="7"/>
  <c r="AO15" i="7"/>
  <c r="AR15" i="7"/>
  <c r="AM15" i="7"/>
  <c r="CL19" i="7"/>
  <c r="CV18" i="7"/>
  <c r="CW18" i="7"/>
  <c r="CX18" i="7"/>
  <c r="DA18" i="7"/>
  <c r="CZ19" i="7"/>
  <c r="BY17" i="7"/>
  <c r="BX17" i="7"/>
  <c r="CC17" i="7"/>
  <c r="BZ17" i="7"/>
  <c r="BT13" i="7"/>
  <c r="BR12" i="7"/>
  <c r="AK18" i="7"/>
  <c r="CK22" i="7"/>
  <c r="CF22" i="7"/>
  <c r="CG22" i="7"/>
  <c r="CH22" i="7"/>
  <c r="CJ23" i="7"/>
  <c r="BI20" i="7"/>
  <c r="AK19" i="7"/>
  <c r="AC11" i="7"/>
  <c r="AY19" i="7"/>
  <c r="AY20" i="7" s="1"/>
  <c r="AW18" i="7"/>
  <c r="AU18" i="7"/>
  <c r="AV18" i="7"/>
  <c r="AZ18" i="7"/>
  <c r="AF21" i="7"/>
  <c r="AE21" i="7"/>
  <c r="AI23" i="7"/>
  <c r="AJ21" i="7"/>
  <c r="AG21" i="7"/>
  <c r="AX37" i="7"/>
  <c r="BC21" i="7"/>
  <c r="BH21" i="7"/>
  <c r="BD21" i="7"/>
  <c r="BE21" i="7"/>
  <c r="BG22" i="7"/>
  <c r="BU11" i="7"/>
  <c r="BV11" i="7" s="1"/>
  <c r="BP11" i="7"/>
  <c r="BQ11" i="7"/>
  <c r="X12" i="7"/>
  <c r="Y12" i="7"/>
  <c r="AB12" i="7"/>
  <c r="AA13" i="7"/>
  <c r="BF48" i="7"/>
  <c r="AP28" i="7"/>
  <c r="AX36" i="7"/>
  <c r="BF45" i="7"/>
  <c r="BS12" i="7"/>
  <c r="Z12" i="7"/>
  <c r="BF46" i="7"/>
  <c r="AX38" i="7"/>
  <c r="BF44" i="7"/>
  <c r="BF47" i="7"/>
  <c r="AP32" i="7"/>
  <c r="AH22" i="7"/>
  <c r="AP33" i="7"/>
  <c r="AX39" i="7"/>
  <c r="AI22" i="7"/>
  <c r="AG20" i="7"/>
  <c r="AF20" i="7"/>
  <c r="AJ20" i="7"/>
  <c r="AE20" i="7"/>
  <c r="G24" i="7"/>
  <c r="CA24" i="7" s="1"/>
  <c r="H31" i="7"/>
  <c r="CI31" i="7" s="1"/>
  <c r="H36" i="7"/>
  <c r="CI36" i="7" s="1"/>
  <c r="I41" i="7"/>
  <c r="CQ41" i="7" s="1"/>
  <c r="H35" i="7"/>
  <c r="CI35" i="7" s="1"/>
  <c r="I42" i="7"/>
  <c r="CQ42" i="7" s="1"/>
  <c r="I43" i="7"/>
  <c r="CQ43" i="7" s="1"/>
  <c r="J49" i="7"/>
  <c r="CY49" i="7" s="1"/>
  <c r="I40" i="7"/>
  <c r="CQ40" i="7" s="1"/>
  <c r="J53" i="7"/>
  <c r="CY53" i="7" s="1"/>
  <c r="J51" i="7"/>
  <c r="CY51" i="7" s="1"/>
  <c r="J52" i="7"/>
  <c r="CY52" i="7" s="1"/>
  <c r="J50" i="7"/>
  <c r="CY50" i="7" s="1"/>
  <c r="F13" i="7"/>
  <c r="L12" i="7"/>
  <c r="G25" i="7" l="1"/>
  <c r="CA25" i="7" s="1"/>
  <c r="AH23" i="7"/>
  <c r="W13" i="7"/>
  <c r="CL21" i="7"/>
  <c r="CD18" i="7"/>
  <c r="BZ19" i="7"/>
  <c r="CD19" i="7" s="1"/>
  <c r="CB20" i="7"/>
  <c r="BX20" i="7" s="1"/>
  <c r="AS15" i="7"/>
  <c r="DB18" i="7"/>
  <c r="BT14" i="7"/>
  <c r="BR13" i="7"/>
  <c r="CD17" i="7"/>
  <c r="CT18" i="7"/>
  <c r="AM17" i="7"/>
  <c r="AN17" i="7"/>
  <c r="AR17" i="7"/>
  <c r="AO17" i="7"/>
  <c r="CP19" i="7"/>
  <c r="CO19" i="7"/>
  <c r="CS19" i="7"/>
  <c r="CN19" i="7"/>
  <c r="CR21" i="7"/>
  <c r="CP20" i="7"/>
  <c r="CS20" i="7"/>
  <c r="CO20" i="7"/>
  <c r="CN20" i="7"/>
  <c r="CW19" i="7"/>
  <c r="DA19" i="7"/>
  <c r="CX19" i="7"/>
  <c r="CV19" i="7"/>
  <c r="AQ18" i="7"/>
  <c r="CZ20" i="7"/>
  <c r="AO16" i="7"/>
  <c r="AM16" i="7"/>
  <c r="AN16" i="7"/>
  <c r="AR16" i="7"/>
  <c r="BY19" i="7"/>
  <c r="BX19" i="7"/>
  <c r="CL22" i="7"/>
  <c r="BA18" i="7"/>
  <c r="CF23" i="7"/>
  <c r="CK23" i="7"/>
  <c r="CH23" i="7"/>
  <c r="CG23" i="7"/>
  <c r="CJ24" i="7"/>
  <c r="AY21" i="7"/>
  <c r="AY22" i="7" s="1"/>
  <c r="AK21" i="7"/>
  <c r="AI24" i="7"/>
  <c r="AJ22" i="7"/>
  <c r="AG22" i="7"/>
  <c r="AE22" i="7"/>
  <c r="AF22" i="7"/>
  <c r="AE23" i="7"/>
  <c r="AF23" i="7"/>
  <c r="AG23" i="7"/>
  <c r="AJ23" i="7"/>
  <c r="AI25" i="7"/>
  <c r="BG23" i="7"/>
  <c r="BG24" i="7" s="1"/>
  <c r="BD22" i="7"/>
  <c r="BH22" i="7"/>
  <c r="BC22" i="7"/>
  <c r="BE22" i="7"/>
  <c r="AP35" i="7"/>
  <c r="AP36" i="7"/>
  <c r="BI21" i="7"/>
  <c r="AX41" i="7"/>
  <c r="BS13" i="7"/>
  <c r="Z13" i="7"/>
  <c r="AP31" i="7"/>
  <c r="AH24" i="7"/>
  <c r="AV20" i="7"/>
  <c r="AZ20" i="7"/>
  <c r="AW20" i="7"/>
  <c r="AU20" i="7"/>
  <c r="BU12" i="7"/>
  <c r="BV12" i="7" s="1"/>
  <c r="BQ12" i="7"/>
  <c r="BP12" i="7"/>
  <c r="BF50" i="7"/>
  <c r="BF52" i="7"/>
  <c r="BF51" i="7"/>
  <c r="AX40" i="7"/>
  <c r="BF49" i="7"/>
  <c r="AA14" i="7"/>
  <c r="X13" i="7"/>
  <c r="AB13" i="7"/>
  <c r="Y13" i="7"/>
  <c r="AX42" i="7"/>
  <c r="BF53" i="7"/>
  <c r="AX43" i="7"/>
  <c r="AK20" i="7"/>
  <c r="AC12" i="7"/>
  <c r="AZ19" i="7"/>
  <c r="AW19" i="7"/>
  <c r="AV19" i="7"/>
  <c r="AU19" i="7"/>
  <c r="G27" i="7"/>
  <c r="CA27" i="7" s="1"/>
  <c r="H34" i="7"/>
  <c r="CI34" i="7" s="1"/>
  <c r="G26" i="7"/>
  <c r="CA26" i="7" s="1"/>
  <c r="J55" i="7"/>
  <c r="CY55" i="7" s="1"/>
  <c r="J58" i="7"/>
  <c r="CY58" i="7" s="1"/>
  <c r="J57" i="7"/>
  <c r="CY57" i="7" s="1"/>
  <c r="J56" i="7"/>
  <c r="CY56" i="7" s="1"/>
  <c r="H38" i="7"/>
  <c r="CI38" i="7" s="1"/>
  <c r="I46" i="7"/>
  <c r="CQ46" i="7" s="1"/>
  <c r="I47" i="7"/>
  <c r="CQ47" i="7" s="1"/>
  <c r="H39" i="7"/>
  <c r="CI39" i="7" s="1"/>
  <c r="I44" i="7"/>
  <c r="CQ44" i="7" s="1"/>
  <c r="J54" i="7"/>
  <c r="CY54" i="7" s="1"/>
  <c r="I45" i="7"/>
  <c r="CQ45" i="7" s="1"/>
  <c r="F14" i="7"/>
  <c r="L13" i="7"/>
  <c r="AH25" i="7" l="1"/>
  <c r="W14" i="7"/>
  <c r="BY20" i="7"/>
  <c r="CB21" i="7"/>
  <c r="CB22" i="7" s="1"/>
  <c r="CC22" i="7" s="1"/>
  <c r="CC20" i="7"/>
  <c r="BZ20" i="7"/>
  <c r="CT20" i="7"/>
  <c r="AS17" i="7"/>
  <c r="CT19" i="7"/>
  <c r="DB19" i="7"/>
  <c r="AS16" i="7"/>
  <c r="CW20" i="7"/>
  <c r="CX20" i="7"/>
  <c r="CV20" i="7"/>
  <c r="DA20" i="7"/>
  <c r="CZ21" i="7"/>
  <c r="AQ19" i="7"/>
  <c r="AR18" i="7"/>
  <c r="AN18" i="7"/>
  <c r="AO18" i="7"/>
  <c r="AM18" i="7"/>
  <c r="CS21" i="7"/>
  <c r="CN21" i="7"/>
  <c r="CP21" i="7"/>
  <c r="CO21" i="7"/>
  <c r="BT15" i="7"/>
  <c r="BR14" i="7"/>
  <c r="CR22" i="7"/>
  <c r="BA19" i="7"/>
  <c r="CL23" i="7"/>
  <c r="BI22" i="7"/>
  <c r="CJ25" i="7"/>
  <c r="CJ26" i="7" s="1"/>
  <c r="AV21" i="7"/>
  <c r="CG24" i="7"/>
  <c r="CH24" i="7"/>
  <c r="CK24" i="7"/>
  <c r="CF24" i="7"/>
  <c r="AZ21" i="7"/>
  <c r="BA20" i="7"/>
  <c r="AK23" i="7"/>
  <c r="AY23" i="7"/>
  <c r="AZ23" i="7" s="1"/>
  <c r="AU22" i="7"/>
  <c r="AV22" i="7"/>
  <c r="AZ22" i="7"/>
  <c r="AW22" i="7"/>
  <c r="AC13" i="7"/>
  <c r="AK22" i="7"/>
  <c r="AW21" i="7"/>
  <c r="AU21" i="7"/>
  <c r="AH27" i="7"/>
  <c r="BF54" i="7"/>
  <c r="AP39" i="7"/>
  <c r="AX47" i="7"/>
  <c r="BH24" i="7"/>
  <c r="BE24" i="7"/>
  <c r="BD24" i="7"/>
  <c r="BC24" i="7"/>
  <c r="X14" i="7"/>
  <c r="Y14" i="7"/>
  <c r="AA15" i="7"/>
  <c r="AB14" i="7"/>
  <c r="AE24" i="7"/>
  <c r="AJ24" i="7"/>
  <c r="AI26" i="7"/>
  <c r="AF24" i="7"/>
  <c r="AG24" i="7"/>
  <c r="AP38" i="7"/>
  <c r="AX45" i="7"/>
  <c r="AP34" i="7"/>
  <c r="AX46" i="7"/>
  <c r="BF56" i="7"/>
  <c r="BF57" i="7"/>
  <c r="BH23" i="7"/>
  <c r="BD23" i="7"/>
  <c r="BE23" i="7"/>
  <c r="BC23" i="7"/>
  <c r="BG25" i="7"/>
  <c r="BG26" i="7" s="1"/>
  <c r="AJ25" i="7"/>
  <c r="AE25" i="7"/>
  <c r="AG25" i="7"/>
  <c r="AF25" i="7"/>
  <c r="AI27" i="7"/>
  <c r="BF58" i="7"/>
  <c r="BF55" i="7"/>
  <c r="AX44" i="7"/>
  <c r="BU13" i="7"/>
  <c r="BV13" i="7" s="1"/>
  <c r="BP13" i="7"/>
  <c r="BQ13" i="7"/>
  <c r="BS14" i="7"/>
  <c r="Z14" i="7"/>
  <c r="AH26" i="7"/>
  <c r="G28" i="7"/>
  <c r="CA28" i="7" s="1"/>
  <c r="H37" i="7"/>
  <c r="CI37" i="7" s="1"/>
  <c r="G29" i="7"/>
  <c r="CA29" i="7" s="1"/>
  <c r="J62" i="7"/>
  <c r="CY62" i="7" s="1"/>
  <c r="I50" i="7"/>
  <c r="CQ50" i="7" s="1"/>
  <c r="J59" i="7"/>
  <c r="CY59" i="7" s="1"/>
  <c r="H41" i="7"/>
  <c r="CI41" i="7" s="1"/>
  <c r="J63" i="7"/>
  <c r="CY63" i="7" s="1"/>
  <c r="I48" i="7"/>
  <c r="CQ48" i="7" s="1"/>
  <c r="I51" i="7"/>
  <c r="CQ51" i="7" s="1"/>
  <c r="J61" i="7"/>
  <c r="CY61" i="7" s="1"/>
  <c r="J60" i="7"/>
  <c r="CY60" i="7" s="1"/>
  <c r="I49" i="7"/>
  <c r="CQ49" i="7" s="1"/>
  <c r="H42" i="7"/>
  <c r="CI42" i="7" s="1"/>
  <c r="F15" i="7"/>
  <c r="L14" i="7"/>
  <c r="BZ22" i="7" l="1"/>
  <c r="CD22" i="7" s="1"/>
  <c r="BZ21" i="7"/>
  <c r="BY22" i="7"/>
  <c r="BX22" i="7"/>
  <c r="CC21" i="7"/>
  <c r="BY21" i="7"/>
  <c r="CB23" i="7"/>
  <c r="BX23" i="7" s="1"/>
  <c r="BX21" i="7"/>
  <c r="W15" i="7"/>
  <c r="CD20" i="7"/>
  <c r="DB20" i="7"/>
  <c r="CT21" i="7"/>
  <c r="CO22" i="7"/>
  <c r="CS22" i="7"/>
  <c r="CP22" i="7"/>
  <c r="CN22" i="7"/>
  <c r="CR23" i="7"/>
  <c r="CR24" i="7" s="1"/>
  <c r="BT16" i="7"/>
  <c r="BR15" i="7"/>
  <c r="AS18" i="7"/>
  <c r="AR19" i="7"/>
  <c r="AN19" i="7"/>
  <c r="AM19" i="7"/>
  <c r="AO19" i="7"/>
  <c r="AQ20" i="7"/>
  <c r="CZ22" i="7"/>
  <c r="CZ23" i="7" s="1"/>
  <c r="DA21" i="7"/>
  <c r="CW21" i="7"/>
  <c r="CV21" i="7"/>
  <c r="CX21" i="7"/>
  <c r="BI24" i="7"/>
  <c r="CF25" i="7"/>
  <c r="BA22" i="7"/>
  <c r="CF26" i="7"/>
  <c r="CK26" i="7"/>
  <c r="CG26" i="7"/>
  <c r="CH26" i="7"/>
  <c r="CJ27" i="7"/>
  <c r="CK27" i="7" s="1"/>
  <c r="CK25" i="7"/>
  <c r="CH25" i="7"/>
  <c r="CL24" i="7"/>
  <c r="CG25" i="7"/>
  <c r="AY24" i="7"/>
  <c r="AV24" i="7" s="1"/>
  <c r="AU23" i="7"/>
  <c r="AV23" i="7"/>
  <c r="AW23" i="7"/>
  <c r="BA23" i="7" s="1"/>
  <c r="AK25" i="7"/>
  <c r="AK24" i="7"/>
  <c r="BA21" i="7"/>
  <c r="BI23" i="7"/>
  <c r="AJ26" i="7"/>
  <c r="AF26" i="7"/>
  <c r="AG26" i="7"/>
  <c r="AE26" i="7"/>
  <c r="AI28" i="7"/>
  <c r="AJ27" i="7"/>
  <c r="AI29" i="7"/>
  <c r="AF27" i="7"/>
  <c r="AG27" i="7"/>
  <c r="AE27" i="7"/>
  <c r="AX50" i="7"/>
  <c r="BS15" i="7"/>
  <c r="Z15" i="7"/>
  <c r="BU14" i="7"/>
  <c r="BV14" i="7" s="1"/>
  <c r="BQ14" i="7"/>
  <c r="BP14" i="7"/>
  <c r="BH26" i="7"/>
  <c r="BE26" i="7"/>
  <c r="BD26" i="7"/>
  <c r="BC26" i="7"/>
  <c r="BF60" i="7"/>
  <c r="AH29" i="7"/>
  <c r="BF59" i="7"/>
  <c r="AP42" i="7"/>
  <c r="BF61" i="7"/>
  <c r="AP37" i="7"/>
  <c r="AX51" i="7"/>
  <c r="AH28" i="7"/>
  <c r="BF62" i="7"/>
  <c r="AX49" i="7"/>
  <c r="AX48" i="7"/>
  <c r="AC14" i="7"/>
  <c r="AP41" i="7"/>
  <c r="BF63" i="7"/>
  <c r="BE25" i="7"/>
  <c r="BH25" i="7"/>
  <c r="BD25" i="7"/>
  <c r="BC25" i="7"/>
  <c r="X15" i="7"/>
  <c r="Y15" i="7"/>
  <c r="AB15" i="7"/>
  <c r="AA16" i="7"/>
  <c r="BG27" i="7"/>
  <c r="G31" i="7"/>
  <c r="CA31" i="7" s="1"/>
  <c r="H40" i="7"/>
  <c r="CI40" i="7" s="1"/>
  <c r="G30" i="7"/>
  <c r="CA30" i="7" s="1"/>
  <c r="I53" i="7"/>
  <c r="CQ53" i="7" s="1"/>
  <c r="J67" i="7"/>
  <c r="CY67" i="7" s="1"/>
  <c r="J65" i="7"/>
  <c r="CY65" i="7" s="1"/>
  <c r="J66" i="7"/>
  <c r="CY66" i="7" s="1"/>
  <c r="J64" i="7"/>
  <c r="CY64" i="7" s="1"/>
  <c r="I54" i="7"/>
  <c r="CQ54" i="7" s="1"/>
  <c r="I55" i="7"/>
  <c r="CQ55" i="7" s="1"/>
  <c r="J68" i="7"/>
  <c r="CY68" i="7" s="1"/>
  <c r="H45" i="7"/>
  <c r="CI45" i="7" s="1"/>
  <c r="I52" i="7"/>
  <c r="CQ52" i="7" s="1"/>
  <c r="H44" i="7"/>
  <c r="CI44" i="7" s="1"/>
  <c r="F16" i="7"/>
  <c r="L15" i="7"/>
  <c r="CD21" i="7" l="1"/>
  <c r="BZ23" i="7"/>
  <c r="CC23" i="7"/>
  <c r="CB24" i="7"/>
  <c r="CC24" i="7" s="1"/>
  <c r="BY23" i="7"/>
  <c r="W16" i="7"/>
  <c r="CT22" i="7"/>
  <c r="AS19" i="7"/>
  <c r="DB21" i="7"/>
  <c r="CN24" i="7"/>
  <c r="CP24" i="7"/>
  <c r="CO24" i="7"/>
  <c r="CS24" i="7"/>
  <c r="BT17" i="7"/>
  <c r="BR16" i="7"/>
  <c r="CV22" i="7"/>
  <c r="CW22" i="7"/>
  <c r="CX22" i="7"/>
  <c r="DA22" i="7"/>
  <c r="CZ24" i="7"/>
  <c r="CZ25" i="7" s="1"/>
  <c r="CW23" i="7"/>
  <c r="CV23" i="7"/>
  <c r="DA23" i="7"/>
  <c r="CX23" i="7"/>
  <c r="AQ21" i="7"/>
  <c r="AQ22" i="7" s="1"/>
  <c r="AN20" i="7"/>
  <c r="AO20" i="7"/>
  <c r="AM20" i="7"/>
  <c r="AR20" i="7"/>
  <c r="CP23" i="7"/>
  <c r="CN23" i="7"/>
  <c r="CO23" i="7"/>
  <c r="CS23" i="7"/>
  <c r="CR25" i="7"/>
  <c r="AZ24" i="7"/>
  <c r="AY25" i="7"/>
  <c r="AV25" i="7" s="1"/>
  <c r="CJ28" i="7"/>
  <c r="CJ29" i="7" s="1"/>
  <c r="CH29" i="7" s="1"/>
  <c r="BI25" i="7"/>
  <c r="CH27" i="7"/>
  <c r="CL27" i="7" s="1"/>
  <c r="CL26" i="7"/>
  <c r="CF27" i="7"/>
  <c r="CG27" i="7"/>
  <c r="AW24" i="7"/>
  <c r="CL25" i="7"/>
  <c r="AU24" i="7"/>
  <c r="AK27" i="7"/>
  <c r="AC15" i="7"/>
  <c r="AH31" i="7"/>
  <c r="BE27" i="7"/>
  <c r="BH27" i="7"/>
  <c r="BC27" i="7"/>
  <c r="BD27" i="7"/>
  <c r="BG28" i="7"/>
  <c r="BI26" i="7"/>
  <c r="BF66" i="7"/>
  <c r="BU15" i="7"/>
  <c r="BV15" i="7" s="1"/>
  <c r="BP15" i="7"/>
  <c r="BQ15" i="7"/>
  <c r="BF68" i="7"/>
  <c r="AX54" i="7"/>
  <c r="AJ28" i="7"/>
  <c r="AG28" i="7"/>
  <c r="AF28" i="7"/>
  <c r="AI30" i="7"/>
  <c r="AE28" i="7"/>
  <c r="BF64" i="7"/>
  <c r="BF67" i="7"/>
  <c r="AX53" i="7"/>
  <c r="AH30" i="7"/>
  <c r="AX55" i="7"/>
  <c r="AP40" i="7"/>
  <c r="AJ29" i="7"/>
  <c r="AI31" i="7"/>
  <c r="AG29" i="7"/>
  <c r="AE29" i="7"/>
  <c r="AF29" i="7"/>
  <c r="AB16" i="7"/>
  <c r="AA17" i="7"/>
  <c r="X16" i="7"/>
  <c r="Y16" i="7"/>
  <c r="AP44" i="7"/>
  <c r="AX52" i="7"/>
  <c r="BF65" i="7"/>
  <c r="BS16" i="7"/>
  <c r="Z16" i="7"/>
  <c r="AP45" i="7"/>
  <c r="AK26" i="7"/>
  <c r="G32" i="7"/>
  <c r="CA32" i="7" s="1"/>
  <c r="G33" i="7"/>
  <c r="CA33" i="7" s="1"/>
  <c r="H43" i="7"/>
  <c r="CI43" i="7" s="1"/>
  <c r="H47" i="7"/>
  <c r="CI47" i="7" s="1"/>
  <c r="H48" i="7"/>
  <c r="CI48" i="7" s="1"/>
  <c r="I58" i="7"/>
  <c r="CQ58" i="7" s="1"/>
  <c r="I57" i="7"/>
  <c r="CQ57" i="7" s="1"/>
  <c r="J69" i="7"/>
  <c r="CY69" i="7" s="1"/>
  <c r="J70" i="7"/>
  <c r="CY70" i="7" s="1"/>
  <c r="J71" i="7"/>
  <c r="CY71" i="7" s="1"/>
  <c r="I56" i="7"/>
  <c r="CQ56" i="7" s="1"/>
  <c r="J73" i="7"/>
  <c r="CY73" i="7" s="1"/>
  <c r="I59" i="7"/>
  <c r="CQ59" i="7" s="1"/>
  <c r="J72" i="7"/>
  <c r="CY72" i="7" s="1"/>
  <c r="F17" i="7"/>
  <c r="L16" i="7"/>
  <c r="BY24" i="7" l="1"/>
  <c r="CB25" i="7"/>
  <c r="BY25" i="7" s="1"/>
  <c r="BX24" i="7"/>
  <c r="BZ24" i="7"/>
  <c r="CD24" i="7" s="1"/>
  <c r="CD23" i="7"/>
  <c r="W17" i="7"/>
  <c r="CT24" i="7"/>
  <c r="DB23" i="7"/>
  <c r="BA24" i="7"/>
  <c r="DB22" i="7"/>
  <c r="AW25" i="7"/>
  <c r="CT23" i="7"/>
  <c r="AS20" i="7"/>
  <c r="CZ26" i="7"/>
  <c r="CZ27" i="7" s="1"/>
  <c r="CX25" i="7"/>
  <c r="CV25" i="7"/>
  <c r="DA25" i="7"/>
  <c r="CW25" i="7"/>
  <c r="AQ23" i="7"/>
  <c r="AQ24" i="7" s="1"/>
  <c r="AN22" i="7"/>
  <c r="AR22" i="7"/>
  <c r="AO22" i="7"/>
  <c r="AM22" i="7"/>
  <c r="AM21" i="7"/>
  <c r="AN21" i="7"/>
  <c r="AR21" i="7"/>
  <c r="AO21" i="7"/>
  <c r="AY26" i="7"/>
  <c r="AV26" i="7" s="1"/>
  <c r="BT18" i="7"/>
  <c r="BR17" i="7"/>
  <c r="CR26" i="7"/>
  <c r="CO25" i="7"/>
  <c r="CP25" i="7"/>
  <c r="CS25" i="7"/>
  <c r="CN25" i="7"/>
  <c r="AZ25" i="7"/>
  <c r="AU25" i="7"/>
  <c r="CB26" i="7"/>
  <c r="CV24" i="7"/>
  <c r="DA24" i="7"/>
  <c r="CX24" i="7"/>
  <c r="CW24" i="7"/>
  <c r="CK29" i="7"/>
  <c r="CL29" i="7" s="1"/>
  <c r="CH28" i="7"/>
  <c r="CF28" i="7"/>
  <c r="CG28" i="7"/>
  <c r="CK28" i="7"/>
  <c r="CJ30" i="7"/>
  <c r="CF30" i="7" s="1"/>
  <c r="CF29" i="7"/>
  <c r="CG29" i="7"/>
  <c r="BI27" i="7"/>
  <c r="AK28" i="7"/>
  <c r="AK29" i="7"/>
  <c r="BU16" i="7"/>
  <c r="BV16" i="7" s="1"/>
  <c r="BQ16" i="7"/>
  <c r="BP16" i="7"/>
  <c r="AG31" i="7"/>
  <c r="AE31" i="7"/>
  <c r="AI33" i="7"/>
  <c r="AF31" i="7"/>
  <c r="AJ31" i="7"/>
  <c r="BG29" i="7"/>
  <c r="BH28" i="7"/>
  <c r="BC28" i="7"/>
  <c r="BD28" i="7"/>
  <c r="BE28" i="7"/>
  <c r="AP48" i="7"/>
  <c r="BF72" i="7"/>
  <c r="AP47" i="7"/>
  <c r="BF73" i="7"/>
  <c r="AP43" i="7"/>
  <c r="AX56" i="7"/>
  <c r="AH33" i="7"/>
  <c r="BF71" i="7"/>
  <c r="Y17" i="7"/>
  <c r="AA18" i="7"/>
  <c r="X17" i="7"/>
  <c r="AB17" i="7"/>
  <c r="AF30" i="7"/>
  <c r="AE30" i="7"/>
  <c r="AI32" i="7"/>
  <c r="AJ30" i="7"/>
  <c r="AG30" i="7"/>
  <c r="AX59" i="7"/>
  <c r="AC16" i="7"/>
  <c r="BF69" i="7"/>
  <c r="AH32" i="7"/>
  <c r="BF70" i="7"/>
  <c r="AX57" i="7"/>
  <c r="Z17" i="7"/>
  <c r="BS17" i="7"/>
  <c r="AX58" i="7"/>
  <c r="H46" i="7"/>
  <c r="CI46" i="7" s="1"/>
  <c r="G35" i="7"/>
  <c r="CA35" i="7" s="1"/>
  <c r="G34" i="7"/>
  <c r="CA34" i="7" s="1"/>
  <c r="J77" i="7"/>
  <c r="CY77" i="7" s="1"/>
  <c r="I61" i="7"/>
  <c r="CQ61" i="7" s="1"/>
  <c r="I60" i="7"/>
  <c r="CQ60" i="7" s="1"/>
  <c r="J78" i="7"/>
  <c r="CY78" i="7" s="1"/>
  <c r="J76" i="7"/>
  <c r="CY76" i="7" s="1"/>
  <c r="J75" i="7"/>
  <c r="CY75" i="7" s="1"/>
  <c r="H51" i="7"/>
  <c r="CI51" i="7" s="1"/>
  <c r="J74" i="7"/>
  <c r="CY74" i="7" s="1"/>
  <c r="I63" i="7"/>
  <c r="CQ63" i="7" s="1"/>
  <c r="I62" i="7"/>
  <c r="CQ62" i="7" s="1"/>
  <c r="H50" i="7"/>
  <c r="CI50" i="7" s="1"/>
  <c r="F18" i="7"/>
  <c r="L17" i="7"/>
  <c r="CC25" i="7" l="1"/>
  <c r="BX25" i="7"/>
  <c r="BZ25" i="7"/>
  <c r="W18" i="7"/>
  <c r="AS22" i="7"/>
  <c r="AS21" i="7"/>
  <c r="BA25" i="7"/>
  <c r="BI28" i="7"/>
  <c r="DB25" i="7"/>
  <c r="AW26" i="7"/>
  <c r="AU26" i="7"/>
  <c r="AZ26" i="7"/>
  <c r="AY27" i="7"/>
  <c r="AY28" i="7" s="1"/>
  <c r="CJ31" i="7"/>
  <c r="CJ32" i="7" s="1"/>
  <c r="CG32" i="7" s="1"/>
  <c r="DB24" i="7"/>
  <c r="AR23" i="7"/>
  <c r="AM23" i="7"/>
  <c r="AN23" i="7"/>
  <c r="AO23" i="7"/>
  <c r="AR24" i="7"/>
  <c r="AN24" i="7"/>
  <c r="AM24" i="7"/>
  <c r="AO24" i="7"/>
  <c r="DA27" i="7"/>
  <c r="CW27" i="7"/>
  <c r="CV27" i="7"/>
  <c r="CX27" i="7"/>
  <c r="CT25" i="7"/>
  <c r="CX26" i="7"/>
  <c r="CV26" i="7"/>
  <c r="CW26" i="7"/>
  <c r="DA26" i="7"/>
  <c r="CO26" i="7"/>
  <c r="CN26" i="7"/>
  <c r="CS26" i="7"/>
  <c r="CP26" i="7"/>
  <c r="AQ25" i="7"/>
  <c r="CG30" i="7"/>
  <c r="CL28" i="7"/>
  <c r="BT19" i="7"/>
  <c r="BR18" i="7"/>
  <c r="CB27" i="7"/>
  <c r="CB28" i="7" s="1"/>
  <c r="BX26" i="7"/>
  <c r="BY26" i="7"/>
  <c r="CC26" i="7"/>
  <c r="BZ26" i="7"/>
  <c r="CZ28" i="7"/>
  <c r="CR27" i="7"/>
  <c r="CK30" i="7"/>
  <c r="CH30" i="7"/>
  <c r="AK31" i="7"/>
  <c r="BC29" i="7"/>
  <c r="BH29" i="7"/>
  <c r="BE29" i="7"/>
  <c r="BD29" i="7"/>
  <c r="BG30" i="7"/>
  <c r="BG31" i="7" s="1"/>
  <c r="AF33" i="7"/>
  <c r="AJ33" i="7"/>
  <c r="AG33" i="7"/>
  <c r="AE33" i="7"/>
  <c r="AI35" i="7"/>
  <c r="BF75" i="7"/>
  <c r="BF76" i="7"/>
  <c r="AX60" i="7"/>
  <c r="AE32" i="7"/>
  <c r="AJ32" i="7"/>
  <c r="AG32" i="7"/>
  <c r="AF32" i="7"/>
  <c r="AI34" i="7"/>
  <c r="AH34" i="7"/>
  <c r="BU17" i="7"/>
  <c r="BV17" i="7" s="1"/>
  <c r="BP17" i="7"/>
  <c r="BQ17" i="7"/>
  <c r="BF77" i="7"/>
  <c r="AP50" i="7"/>
  <c r="AK30" i="7"/>
  <c r="AX62" i="7"/>
  <c r="AX63" i="7"/>
  <c r="BF78" i="7"/>
  <c r="BS18" i="7"/>
  <c r="Z18" i="7"/>
  <c r="AH35" i="7"/>
  <c r="AC17" i="7"/>
  <c r="AB18" i="7"/>
  <c r="AA19" i="7"/>
  <c r="Y18" i="7"/>
  <c r="X18" i="7"/>
  <c r="AX61" i="7"/>
  <c r="BF74" i="7"/>
  <c r="AP51" i="7"/>
  <c r="AP46" i="7"/>
  <c r="G37" i="7"/>
  <c r="CA37" i="7" s="1"/>
  <c r="H49" i="7"/>
  <c r="CI49" i="7" s="1"/>
  <c r="G36" i="7"/>
  <c r="CA36" i="7" s="1"/>
  <c r="I67" i="7"/>
  <c r="CQ67" i="7" s="1"/>
  <c r="J80" i="7"/>
  <c r="CY80" i="7" s="1"/>
  <c r="I66" i="7"/>
  <c r="CQ66" i="7" s="1"/>
  <c r="J79" i="7"/>
  <c r="CY79" i="7" s="1"/>
  <c r="H54" i="7"/>
  <c r="CI54" i="7" s="1"/>
  <c r="H53" i="7"/>
  <c r="CI53" i="7" s="1"/>
  <c r="J81" i="7"/>
  <c r="CY81" i="7" s="1"/>
  <c r="J83" i="7"/>
  <c r="CY83" i="7" s="1"/>
  <c r="I64" i="7"/>
  <c r="CQ64" i="7" s="1"/>
  <c r="I65" i="7"/>
  <c r="CQ65" i="7" s="1"/>
  <c r="J82" i="7"/>
  <c r="CY82" i="7" s="1"/>
  <c r="F19" i="7"/>
  <c r="L18" i="7"/>
  <c r="CD25" i="7" l="1"/>
  <c r="W19" i="7"/>
  <c r="BA26" i="7"/>
  <c r="CD26" i="7"/>
  <c r="CH32" i="7"/>
  <c r="CJ33" i="7"/>
  <c r="CF33" i="7" s="1"/>
  <c r="CK32" i="7"/>
  <c r="AV27" i="7"/>
  <c r="AS23" i="7"/>
  <c r="AU27" i="7"/>
  <c r="CT26" i="7"/>
  <c r="AW27" i="7"/>
  <c r="AZ27" i="7"/>
  <c r="DB26" i="7"/>
  <c r="CH31" i="7"/>
  <c r="CK31" i="7"/>
  <c r="CG31" i="7"/>
  <c r="CF32" i="7"/>
  <c r="CF31" i="7"/>
  <c r="DB27" i="7"/>
  <c r="AS24" i="7"/>
  <c r="BY28" i="7"/>
  <c r="BX28" i="7"/>
  <c r="CC28" i="7"/>
  <c r="BZ28" i="7"/>
  <c r="BT20" i="7"/>
  <c r="BR19" i="7"/>
  <c r="CP27" i="7"/>
  <c r="CS27" i="7"/>
  <c r="CO27" i="7"/>
  <c r="CN27" i="7"/>
  <c r="CR28" i="7"/>
  <c r="CV28" i="7"/>
  <c r="CX28" i="7"/>
  <c r="CW28" i="7"/>
  <c r="DA28" i="7"/>
  <c r="AN25" i="7"/>
  <c r="AO25" i="7"/>
  <c r="AR25" i="7"/>
  <c r="AM25" i="7"/>
  <c r="AQ26" i="7"/>
  <c r="CL30" i="7"/>
  <c r="CZ29" i="7"/>
  <c r="BY27" i="7"/>
  <c r="BX27" i="7"/>
  <c r="CB29" i="7"/>
  <c r="BZ27" i="7"/>
  <c r="CC27" i="7"/>
  <c r="AK33" i="7"/>
  <c r="BI29" i="7"/>
  <c r="BE31" i="7"/>
  <c r="BH31" i="7"/>
  <c r="BD31" i="7"/>
  <c r="BC31" i="7"/>
  <c r="BG32" i="7"/>
  <c r="BG33" i="7" s="1"/>
  <c r="AB19" i="7"/>
  <c r="Y19" i="7"/>
  <c r="X19" i="7"/>
  <c r="AA20" i="7"/>
  <c r="AP49" i="7"/>
  <c r="AX65" i="7"/>
  <c r="AH37" i="7"/>
  <c r="BF81" i="7"/>
  <c r="BF83" i="7"/>
  <c r="BU18" i="7"/>
  <c r="BV18" i="7" s="1"/>
  <c r="BQ18" i="7"/>
  <c r="BP18" i="7"/>
  <c r="AW28" i="7"/>
  <c r="AV28" i="7"/>
  <c r="AZ28" i="7"/>
  <c r="AU28" i="7"/>
  <c r="AY29" i="7"/>
  <c r="AP54" i="7"/>
  <c r="BF80" i="7"/>
  <c r="AP53" i="7"/>
  <c r="AX67" i="7"/>
  <c r="AX64" i="7"/>
  <c r="AC18" i="7"/>
  <c r="AK32" i="7"/>
  <c r="AI37" i="7"/>
  <c r="AG35" i="7"/>
  <c r="AF35" i="7"/>
  <c r="AE35" i="7"/>
  <c r="AJ35" i="7"/>
  <c r="BC30" i="7"/>
  <c r="BH30" i="7"/>
  <c r="BE30" i="7"/>
  <c r="BD30" i="7"/>
  <c r="BF79" i="7"/>
  <c r="AX66" i="7"/>
  <c r="Z19" i="7"/>
  <c r="BS19" i="7"/>
  <c r="AH36" i="7"/>
  <c r="BF82" i="7"/>
  <c r="AJ34" i="7"/>
  <c r="AI36" i="7"/>
  <c r="AG34" i="7"/>
  <c r="AF34" i="7"/>
  <c r="AE34" i="7"/>
  <c r="H52" i="7"/>
  <c r="CI52" i="7" s="1"/>
  <c r="G39" i="7"/>
  <c r="CA39" i="7" s="1"/>
  <c r="G38" i="7"/>
  <c r="CA38" i="7" s="1"/>
  <c r="J86" i="7"/>
  <c r="CY86" i="7" s="1"/>
  <c r="J87" i="7"/>
  <c r="CY87" i="7" s="1"/>
  <c r="I70" i="7"/>
  <c r="CQ70" i="7" s="1"/>
  <c r="J85" i="7"/>
  <c r="CY85" i="7" s="1"/>
  <c r="I69" i="7"/>
  <c r="CQ69" i="7" s="1"/>
  <c r="I68" i="7"/>
  <c r="CQ68" i="7" s="1"/>
  <c r="J88" i="7"/>
  <c r="CY88" i="7" s="1"/>
  <c r="J84" i="7"/>
  <c r="CY84" i="7" s="1"/>
  <c r="I71" i="7"/>
  <c r="CQ71" i="7" s="1"/>
  <c r="H56" i="7"/>
  <c r="CI56" i="7" s="1"/>
  <c r="H57" i="7"/>
  <c r="CI57" i="7" s="1"/>
  <c r="F20" i="7"/>
  <c r="L19" i="7"/>
  <c r="W20" i="7" l="1"/>
  <c r="BA27" i="7"/>
  <c r="CJ34" i="7"/>
  <c r="CH34" i="7" s="1"/>
  <c r="CH33" i="7"/>
  <c r="CK33" i="7"/>
  <c r="CG33" i="7"/>
  <c r="CL32" i="7"/>
  <c r="DB28" i="7"/>
  <c r="CD27" i="7"/>
  <c r="CL31" i="7"/>
  <c r="CD28" i="7"/>
  <c r="AS25" i="7"/>
  <c r="CT27" i="7"/>
  <c r="CB30" i="7"/>
  <c r="CB31" i="7" s="1"/>
  <c r="BY29" i="7"/>
  <c r="BX29" i="7"/>
  <c r="CC29" i="7"/>
  <c r="BZ29" i="7"/>
  <c r="CZ30" i="7"/>
  <c r="CZ31" i="7" s="1"/>
  <c r="CV29" i="7"/>
  <c r="CW29" i="7"/>
  <c r="DA29" i="7"/>
  <c r="CX29" i="7"/>
  <c r="BT21" i="7"/>
  <c r="BR20" i="7"/>
  <c r="AR26" i="7"/>
  <c r="AO26" i="7"/>
  <c r="AN26" i="7"/>
  <c r="AM26" i="7"/>
  <c r="AQ27" i="7"/>
  <c r="CS28" i="7"/>
  <c r="CP28" i="7"/>
  <c r="CO28" i="7"/>
  <c r="CN28" i="7"/>
  <c r="CR29" i="7"/>
  <c r="BI30" i="7"/>
  <c r="BI31" i="7"/>
  <c r="BA28" i="7"/>
  <c r="BC33" i="7"/>
  <c r="BE33" i="7"/>
  <c r="BD33" i="7"/>
  <c r="BH33" i="7"/>
  <c r="AE36" i="7"/>
  <c r="AJ36" i="7"/>
  <c r="AG36" i="7"/>
  <c r="AI38" i="7"/>
  <c r="AF36" i="7"/>
  <c r="AX69" i="7"/>
  <c r="BU19" i="7"/>
  <c r="BV19" i="7" s="1"/>
  <c r="BQ19" i="7"/>
  <c r="BP19" i="7"/>
  <c r="BG34" i="7"/>
  <c r="BG35" i="7" s="1"/>
  <c r="BE32" i="7"/>
  <c r="BH32" i="7"/>
  <c r="BD32" i="7"/>
  <c r="BC32" i="7"/>
  <c r="AH38" i="7"/>
  <c r="AB20" i="7"/>
  <c r="AA21" i="7"/>
  <c r="Y20" i="7"/>
  <c r="X20" i="7"/>
  <c r="BS20" i="7"/>
  <c r="Z20" i="7"/>
  <c r="BF85" i="7"/>
  <c r="AX70" i="7"/>
  <c r="BF87" i="7"/>
  <c r="AX71" i="7"/>
  <c r="AK34" i="7"/>
  <c r="AZ29" i="7"/>
  <c r="AV29" i="7"/>
  <c r="AW29" i="7"/>
  <c r="AU29" i="7"/>
  <c r="AP57" i="7"/>
  <c r="AP56" i="7"/>
  <c r="AP52" i="7"/>
  <c r="BF84" i="7"/>
  <c r="AK35" i="7"/>
  <c r="AY30" i="7"/>
  <c r="AC19" i="7"/>
  <c r="BF88" i="7"/>
  <c r="AF37" i="7"/>
  <c r="AI39" i="7"/>
  <c r="AJ37" i="7"/>
  <c r="AG37" i="7"/>
  <c r="AE37" i="7"/>
  <c r="BF86" i="7"/>
  <c r="AH39" i="7"/>
  <c r="AX68" i="7"/>
  <c r="H55" i="7"/>
  <c r="CI55" i="7" s="1"/>
  <c r="G40" i="7"/>
  <c r="CA40" i="7" s="1"/>
  <c r="G41" i="7"/>
  <c r="CA41" i="7" s="1"/>
  <c r="J89" i="7"/>
  <c r="CY89" i="7" s="1"/>
  <c r="I72" i="7"/>
  <c r="CQ72" i="7" s="1"/>
  <c r="J90" i="7"/>
  <c r="CY90" i="7" s="1"/>
  <c r="H60" i="7"/>
  <c r="CI60" i="7" s="1"/>
  <c r="I75" i="7"/>
  <c r="CQ75" i="7" s="1"/>
  <c r="J93" i="7"/>
  <c r="CY93" i="7" s="1"/>
  <c r="J91" i="7"/>
  <c r="CY91" i="7" s="1"/>
  <c r="I74" i="7"/>
  <c r="CQ74" i="7" s="1"/>
  <c r="H59" i="7"/>
  <c r="CI59" i="7" s="1"/>
  <c r="I73" i="7"/>
  <c r="CQ73" i="7" s="1"/>
  <c r="J92" i="7"/>
  <c r="CY92" i="7" s="1"/>
  <c r="F21" i="7"/>
  <c r="L20" i="7"/>
  <c r="W21" i="7" l="1"/>
  <c r="CG34" i="7"/>
  <c r="CK34" i="7"/>
  <c r="CL34" i="7" s="1"/>
  <c r="CF34" i="7"/>
  <c r="CJ35" i="7"/>
  <c r="CK35" i="7" s="1"/>
  <c r="CL33" i="7"/>
  <c r="AS26" i="7"/>
  <c r="CD29" i="7"/>
  <c r="CT28" i="7"/>
  <c r="DB29" i="7"/>
  <c r="AN27" i="7"/>
  <c r="AR27" i="7"/>
  <c r="AM27" i="7"/>
  <c r="AO27" i="7"/>
  <c r="CZ32" i="7"/>
  <c r="DA31" i="7"/>
  <c r="CV31" i="7"/>
  <c r="CX31" i="7"/>
  <c r="CW31" i="7"/>
  <c r="CV30" i="7"/>
  <c r="CX30" i="7"/>
  <c r="DA30" i="7"/>
  <c r="CW30" i="7"/>
  <c r="AQ28" i="7"/>
  <c r="CN29" i="7"/>
  <c r="CO29" i="7"/>
  <c r="CP29" i="7"/>
  <c r="CS29" i="7"/>
  <c r="CR30" i="7"/>
  <c r="BX31" i="7"/>
  <c r="BY31" i="7"/>
  <c r="CC31" i="7"/>
  <c r="BZ31" i="7"/>
  <c r="BT22" i="7"/>
  <c r="BR21" i="7"/>
  <c r="BY30" i="7"/>
  <c r="BX30" i="7"/>
  <c r="CB32" i="7"/>
  <c r="CC30" i="7"/>
  <c r="BZ30" i="7"/>
  <c r="BI33" i="7"/>
  <c r="BG36" i="7"/>
  <c r="BH36" i="7" s="1"/>
  <c r="BI32" i="7"/>
  <c r="AK37" i="7"/>
  <c r="BU20" i="7"/>
  <c r="BV20" i="7" s="1"/>
  <c r="BQ20" i="7"/>
  <c r="BP20" i="7"/>
  <c r="AX72" i="7"/>
  <c r="AJ38" i="7"/>
  <c r="AI40" i="7"/>
  <c r="AG38" i="7"/>
  <c r="AE38" i="7"/>
  <c r="AF38" i="7"/>
  <c r="BS21" i="7"/>
  <c r="Z21" i="7"/>
  <c r="AH41" i="7"/>
  <c r="AU30" i="7"/>
  <c r="AW30" i="7"/>
  <c r="AV30" i="7"/>
  <c r="AZ30" i="7"/>
  <c r="AY31" i="7"/>
  <c r="AK36" i="7"/>
  <c r="AX73" i="7"/>
  <c r="AH40" i="7"/>
  <c r="BA29" i="7"/>
  <c r="BC35" i="7"/>
  <c r="BE35" i="7"/>
  <c r="BD35" i="7"/>
  <c r="BH35" i="7"/>
  <c r="BF90" i="7"/>
  <c r="BF89" i="7"/>
  <c r="AX74" i="7"/>
  <c r="BF91" i="7"/>
  <c r="AP55" i="7"/>
  <c r="BF93" i="7"/>
  <c r="BE34" i="7"/>
  <c r="BD34" i="7"/>
  <c r="BC34" i="7"/>
  <c r="BH34" i="7"/>
  <c r="BF92" i="7"/>
  <c r="AP59" i="7"/>
  <c r="AF39" i="7"/>
  <c r="AG39" i="7"/>
  <c r="AJ39" i="7"/>
  <c r="AI41" i="7"/>
  <c r="AE39" i="7"/>
  <c r="AA22" i="7"/>
  <c r="Y21" i="7"/>
  <c r="X21" i="7"/>
  <c r="AB21" i="7"/>
  <c r="AX75" i="7"/>
  <c r="AP60" i="7"/>
  <c r="AC20" i="7"/>
  <c r="G43" i="7"/>
  <c r="CA43" i="7" s="1"/>
  <c r="H58" i="7"/>
  <c r="CI58" i="7" s="1"/>
  <c r="G42" i="7"/>
  <c r="CA42" i="7" s="1"/>
  <c r="I78" i="7"/>
  <c r="CQ78" i="7" s="1"/>
  <c r="J97" i="7"/>
  <c r="CY97" i="7" s="1"/>
  <c r="J95" i="7"/>
  <c r="CY95" i="7" s="1"/>
  <c r="H62" i="7"/>
  <c r="CI62" i="7" s="1"/>
  <c r="J96" i="7"/>
  <c r="CY96" i="7" s="1"/>
  <c r="J98" i="7"/>
  <c r="CY98" i="7" s="1"/>
  <c r="I79" i="7"/>
  <c r="CQ79" i="7" s="1"/>
  <c r="H63" i="7"/>
  <c r="CI63" i="7" s="1"/>
  <c r="I77" i="7"/>
  <c r="CQ77" i="7" s="1"/>
  <c r="I76" i="7"/>
  <c r="CQ76" i="7" s="1"/>
  <c r="J94" i="7"/>
  <c r="CY94" i="7" s="1"/>
  <c r="F22" i="7"/>
  <c r="L21" i="7"/>
  <c r="W22" i="7" l="1"/>
  <c r="CH35" i="7"/>
  <c r="CF35" i="7"/>
  <c r="CG35" i="7"/>
  <c r="CJ36" i="7"/>
  <c r="CJ37" i="7" s="1"/>
  <c r="DB30" i="7"/>
  <c r="CT29" i="7"/>
  <c r="AS27" i="7"/>
  <c r="CD31" i="7"/>
  <c r="BD36" i="7"/>
  <c r="CD30" i="7"/>
  <c r="DB31" i="7"/>
  <c r="CB33" i="7"/>
  <c r="CB34" i="7" s="1"/>
  <c r="BX32" i="7"/>
  <c r="BY32" i="7"/>
  <c r="BZ32" i="7"/>
  <c r="CC32" i="7"/>
  <c r="BT23" i="7"/>
  <c r="BR22" i="7"/>
  <c r="AR28" i="7"/>
  <c r="AM28" i="7"/>
  <c r="AN28" i="7"/>
  <c r="AO28" i="7"/>
  <c r="CX32" i="7"/>
  <c r="DA32" i="7"/>
  <c r="CV32" i="7"/>
  <c r="CW32" i="7"/>
  <c r="AQ29" i="7"/>
  <c r="AQ30" i="7" s="1"/>
  <c r="CZ33" i="7"/>
  <c r="CP30" i="7"/>
  <c r="CS30" i="7"/>
  <c r="CO30" i="7"/>
  <c r="CN30" i="7"/>
  <c r="CR31" i="7"/>
  <c r="BA30" i="7"/>
  <c r="BI35" i="7"/>
  <c r="BI34" i="7"/>
  <c r="CL35" i="7"/>
  <c r="BC36" i="7"/>
  <c r="BE36" i="7"/>
  <c r="BI36" i="7" s="1"/>
  <c r="BG37" i="7"/>
  <c r="BC37" i="7" s="1"/>
  <c r="AK39" i="7"/>
  <c r="AP62" i="7"/>
  <c r="BF95" i="7"/>
  <c r="AC21" i="7"/>
  <c r="AB22" i="7"/>
  <c r="AA23" i="7"/>
  <c r="Y22" i="7"/>
  <c r="X22" i="7"/>
  <c r="AW31" i="7"/>
  <c r="AV31" i="7"/>
  <c r="AU31" i="7"/>
  <c r="AZ31" i="7"/>
  <c r="BU21" i="7"/>
  <c r="BV21" i="7" s="1"/>
  <c r="BP21" i="7"/>
  <c r="BQ21" i="7"/>
  <c r="AX77" i="7"/>
  <c r="BF97" i="7"/>
  <c r="AE41" i="7"/>
  <c r="AF41" i="7"/>
  <c r="AI43" i="7"/>
  <c r="AG41" i="7"/>
  <c r="AJ41" i="7"/>
  <c r="AI42" i="7"/>
  <c r="AE40" i="7"/>
  <c r="AG40" i="7"/>
  <c r="AJ40" i="7"/>
  <c r="AF40" i="7"/>
  <c r="BS22" i="7"/>
  <c r="Z22" i="7"/>
  <c r="AH43" i="7"/>
  <c r="AK38" i="7"/>
  <c r="AH42" i="7"/>
  <c r="BF94" i="7"/>
  <c r="AX76" i="7"/>
  <c r="AX78" i="7"/>
  <c r="AP58" i="7"/>
  <c r="AP63" i="7"/>
  <c r="AX79" i="7"/>
  <c r="BF98" i="7"/>
  <c r="BF96" i="7"/>
  <c r="AY32" i="7"/>
  <c r="AY33" i="7" s="1"/>
  <c r="G44" i="7"/>
  <c r="CA44" i="7" s="1"/>
  <c r="H61" i="7"/>
  <c r="CI61" i="7" s="1"/>
  <c r="G45" i="7"/>
  <c r="CA45" i="7" s="1"/>
  <c r="I83" i="7"/>
  <c r="CQ83" i="7" s="1"/>
  <c r="J99" i="7"/>
  <c r="CY99" i="7" s="1"/>
  <c r="J103" i="7"/>
  <c r="CY103" i="7" s="1"/>
  <c r="J100" i="7"/>
  <c r="CY100" i="7" s="1"/>
  <c r="H65" i="7"/>
  <c r="CI65" i="7" s="1"/>
  <c r="I82" i="7"/>
  <c r="CQ82" i="7" s="1"/>
  <c r="I80" i="7"/>
  <c r="CQ80" i="7" s="1"/>
  <c r="H66" i="7"/>
  <c r="CI66" i="7" s="1"/>
  <c r="J101" i="7"/>
  <c r="CY101" i="7" s="1"/>
  <c r="J102" i="7"/>
  <c r="CY102" i="7" s="1"/>
  <c r="I81" i="7"/>
  <c r="CQ81" i="7" s="1"/>
  <c r="F23" i="7"/>
  <c r="L22" i="7"/>
  <c r="W23" i="7" l="1"/>
  <c r="CG36" i="7"/>
  <c r="CF36" i="7"/>
  <c r="CK36" i="7"/>
  <c r="CH36" i="7"/>
  <c r="CD32" i="7"/>
  <c r="DB32" i="7"/>
  <c r="AS28" i="7"/>
  <c r="CT30" i="7"/>
  <c r="AK40" i="7"/>
  <c r="AN30" i="7"/>
  <c r="AR30" i="7"/>
  <c r="AO30" i="7"/>
  <c r="AM30" i="7"/>
  <c r="BX34" i="7"/>
  <c r="BY34" i="7"/>
  <c r="BZ34" i="7"/>
  <c r="CC34" i="7"/>
  <c r="AN29" i="7"/>
  <c r="AR29" i="7"/>
  <c r="AO29" i="7"/>
  <c r="AM29" i="7"/>
  <c r="CO31" i="7"/>
  <c r="CN31" i="7"/>
  <c r="CS31" i="7"/>
  <c r="CP31" i="7"/>
  <c r="BT24" i="7"/>
  <c r="BR23" i="7"/>
  <c r="AQ31" i="7"/>
  <c r="AQ32" i="7" s="1"/>
  <c r="AQ33" i="7" s="1"/>
  <c r="BX33" i="7"/>
  <c r="BY33" i="7"/>
  <c r="CB35" i="7"/>
  <c r="CB36" i="7" s="1"/>
  <c r="CC33" i="7"/>
  <c r="BZ33" i="7"/>
  <c r="CZ34" i="7"/>
  <c r="DA33" i="7"/>
  <c r="CV33" i="7"/>
  <c r="CX33" i="7"/>
  <c r="CW33" i="7"/>
  <c r="CR32" i="7"/>
  <c r="BH37" i="7"/>
  <c r="BE37" i="7"/>
  <c r="BG38" i="7"/>
  <c r="BG39" i="7" s="1"/>
  <c r="CH37" i="7"/>
  <c r="CG37" i="7"/>
  <c r="CF37" i="7"/>
  <c r="CK37" i="7"/>
  <c r="BD37" i="7"/>
  <c r="AK41" i="7"/>
  <c r="CJ38" i="7"/>
  <c r="BA31" i="7"/>
  <c r="AU32" i="7"/>
  <c r="AV32" i="7"/>
  <c r="AZ32" i="7"/>
  <c r="AW32" i="7"/>
  <c r="AJ43" i="7"/>
  <c r="AI45" i="7"/>
  <c r="AG43" i="7"/>
  <c r="AE43" i="7"/>
  <c r="AF43" i="7"/>
  <c r="BF102" i="7"/>
  <c r="BF101" i="7"/>
  <c r="AV33" i="7"/>
  <c r="AW33" i="7"/>
  <c r="AZ33" i="7"/>
  <c r="AU33" i="7"/>
  <c r="AA24" i="7"/>
  <c r="W24" i="7" s="1"/>
  <c r="AB23" i="7"/>
  <c r="X23" i="7"/>
  <c r="Y23" i="7"/>
  <c r="AP65" i="7"/>
  <c r="AY34" i="7"/>
  <c r="AY35" i="7" s="1"/>
  <c r="AC22" i="7"/>
  <c r="AH44" i="7"/>
  <c r="AX80" i="7"/>
  <c r="AX82" i="7"/>
  <c r="BF99" i="7"/>
  <c r="AP66" i="7"/>
  <c r="BF100" i="7"/>
  <c r="BF103" i="7"/>
  <c r="AX83" i="7"/>
  <c r="BS23" i="7"/>
  <c r="Z23" i="7"/>
  <c r="AH45" i="7"/>
  <c r="AX81" i="7"/>
  <c r="AP61" i="7"/>
  <c r="AI44" i="7"/>
  <c r="AF42" i="7"/>
  <c r="AJ42" i="7"/>
  <c r="AG42" i="7"/>
  <c r="AE42" i="7"/>
  <c r="BU22" i="7"/>
  <c r="BV22" i="7" s="1"/>
  <c r="BP22" i="7"/>
  <c r="BQ22" i="7"/>
  <c r="H64" i="7"/>
  <c r="CI64" i="7" s="1"/>
  <c r="G46" i="7"/>
  <c r="CA46" i="7" s="1"/>
  <c r="G47" i="7"/>
  <c r="CA47" i="7" s="1"/>
  <c r="H69" i="7"/>
  <c r="CI69" i="7" s="1"/>
  <c r="J106" i="7"/>
  <c r="CY106" i="7" s="1"/>
  <c r="I84" i="7"/>
  <c r="CQ84" i="7" s="1"/>
  <c r="J105" i="7"/>
  <c r="CY105" i="7" s="1"/>
  <c r="J104" i="7"/>
  <c r="CY104" i="7" s="1"/>
  <c r="I87" i="7"/>
  <c r="CQ87" i="7" s="1"/>
  <c r="H68" i="7"/>
  <c r="CI68" i="7" s="1"/>
  <c r="I86" i="7"/>
  <c r="CQ86" i="7" s="1"/>
  <c r="I85" i="7"/>
  <c r="CQ85" i="7" s="1"/>
  <c r="J107" i="7"/>
  <c r="CY107" i="7" s="1"/>
  <c r="J108" i="7"/>
  <c r="CY108" i="7" s="1"/>
  <c r="F24" i="7"/>
  <c r="L23" i="7"/>
  <c r="CL36" i="7" l="1"/>
  <c r="AS30" i="7"/>
  <c r="BI37" i="7"/>
  <c r="AS29" i="7"/>
  <c r="CD34" i="7"/>
  <c r="CT31" i="7"/>
  <c r="DB33" i="7"/>
  <c r="CD33" i="7"/>
  <c r="AR33" i="7"/>
  <c r="AN33" i="7"/>
  <c r="AO33" i="7"/>
  <c r="AM33" i="7"/>
  <c r="BT25" i="7"/>
  <c r="BR24" i="7"/>
  <c r="BE38" i="7"/>
  <c r="CW34" i="7"/>
  <c r="CX34" i="7"/>
  <c r="DA34" i="7"/>
  <c r="CV34" i="7"/>
  <c r="CZ35" i="7"/>
  <c r="CB37" i="7"/>
  <c r="CB38" i="7" s="1"/>
  <c r="BX36" i="7"/>
  <c r="BY36" i="7"/>
  <c r="BZ36" i="7"/>
  <c r="CC36" i="7"/>
  <c r="BH38" i="7"/>
  <c r="BD38" i="7"/>
  <c r="BX35" i="7"/>
  <c r="BY35" i="7"/>
  <c r="BZ35" i="7"/>
  <c r="CC35" i="7"/>
  <c r="AR32" i="7"/>
  <c r="AM32" i="7"/>
  <c r="AN32" i="7"/>
  <c r="AO32" i="7"/>
  <c r="CR33" i="7"/>
  <c r="CR34" i="7" s="1"/>
  <c r="CS32" i="7"/>
  <c r="CN32" i="7"/>
  <c r="CO32" i="7"/>
  <c r="CP32" i="7"/>
  <c r="AO31" i="7"/>
  <c r="AM31" i="7"/>
  <c r="AR31" i="7"/>
  <c r="AN31" i="7"/>
  <c r="AQ34" i="7"/>
  <c r="AQ35" i="7" s="1"/>
  <c r="BC38" i="7"/>
  <c r="CL37" i="7"/>
  <c r="AC23" i="7"/>
  <c r="CK38" i="7"/>
  <c r="CH38" i="7"/>
  <c r="CF38" i="7"/>
  <c r="CG38" i="7"/>
  <c r="CJ39" i="7"/>
  <c r="CJ40" i="7" s="1"/>
  <c r="BA33" i="7"/>
  <c r="AH47" i="7"/>
  <c r="BF106" i="7"/>
  <c r="BU23" i="7"/>
  <c r="BV23" i="7" s="1"/>
  <c r="BP23" i="7"/>
  <c r="BQ23" i="7"/>
  <c r="BS24" i="7"/>
  <c r="Z24" i="7"/>
  <c r="AH46" i="7"/>
  <c r="BD39" i="7"/>
  <c r="BC39" i="7"/>
  <c r="BE39" i="7"/>
  <c r="BH39" i="7"/>
  <c r="AG45" i="7"/>
  <c r="AI47" i="7"/>
  <c r="AJ45" i="7"/>
  <c r="AF45" i="7"/>
  <c r="AE45" i="7"/>
  <c r="AP69" i="7"/>
  <c r="AV35" i="7"/>
  <c r="AU35" i="7"/>
  <c r="AZ35" i="7"/>
  <c r="AW35" i="7"/>
  <c r="AK43" i="7"/>
  <c r="AP64" i="7"/>
  <c r="AA25" i="7"/>
  <c r="Y24" i="7"/>
  <c r="X24" i="7"/>
  <c r="AB24" i="7"/>
  <c r="AY36" i="7"/>
  <c r="BF108" i="7"/>
  <c r="AX85" i="7"/>
  <c r="BG40" i="7"/>
  <c r="BA32" i="7"/>
  <c r="BF107" i="7"/>
  <c r="AX86" i="7"/>
  <c r="AP68" i="7"/>
  <c r="AK42" i="7"/>
  <c r="BF104" i="7"/>
  <c r="BF105" i="7"/>
  <c r="AX87" i="7"/>
  <c r="AX84" i="7"/>
  <c r="AJ44" i="7"/>
  <c r="AE44" i="7"/>
  <c r="AG44" i="7"/>
  <c r="AF44" i="7"/>
  <c r="AI46" i="7"/>
  <c r="AV34" i="7"/>
  <c r="AU34" i="7"/>
  <c r="AZ34" i="7"/>
  <c r="AW34" i="7"/>
  <c r="G48" i="7"/>
  <c r="CA48" i="7" s="1"/>
  <c r="G49" i="7"/>
  <c r="CA49" i="7" s="1"/>
  <c r="H67" i="7"/>
  <c r="CI67" i="7" s="1"/>
  <c r="I90" i="7"/>
  <c r="CQ90" i="7" s="1"/>
  <c r="H71" i="7"/>
  <c r="CI71" i="7" s="1"/>
  <c r="I89" i="7"/>
  <c r="CQ89" i="7" s="1"/>
  <c r="I91" i="7"/>
  <c r="CQ91" i="7" s="1"/>
  <c r="I88" i="7"/>
  <c r="CQ88" i="7" s="1"/>
  <c r="J111" i="7"/>
  <c r="CY111" i="7" s="1"/>
  <c r="J113" i="7"/>
  <c r="CY113" i="7" s="1"/>
  <c r="J112" i="7"/>
  <c r="CY112" i="7" s="1"/>
  <c r="J109" i="7"/>
  <c r="CY109" i="7" s="1"/>
  <c r="J110" i="7"/>
  <c r="CY110" i="7" s="1"/>
  <c r="H72" i="7"/>
  <c r="CI72" i="7" s="1"/>
  <c r="F25" i="7"/>
  <c r="L24" i="7"/>
  <c r="W25" i="7" l="1"/>
  <c r="CD36" i="7"/>
  <c r="AS32" i="7"/>
  <c r="AS31" i="7"/>
  <c r="AS33" i="7"/>
  <c r="DB34" i="7"/>
  <c r="AK45" i="7"/>
  <c r="BI38" i="7"/>
  <c r="BA34" i="7"/>
  <c r="CD35" i="7"/>
  <c r="CT32" i="7"/>
  <c r="BY38" i="7"/>
  <c r="BX38" i="7"/>
  <c r="BZ38" i="7"/>
  <c r="CC38" i="7"/>
  <c r="AM35" i="7"/>
  <c r="AN35" i="7"/>
  <c r="AR35" i="7"/>
  <c r="AO35" i="7"/>
  <c r="BT26" i="7"/>
  <c r="BR25" i="7"/>
  <c r="BX37" i="7"/>
  <c r="BY37" i="7"/>
  <c r="CB39" i="7"/>
  <c r="BZ37" i="7"/>
  <c r="CC37" i="7"/>
  <c r="AQ36" i="7"/>
  <c r="AQ37" i="7" s="1"/>
  <c r="CZ36" i="7"/>
  <c r="CX35" i="7"/>
  <c r="CV35" i="7"/>
  <c r="CW35" i="7"/>
  <c r="DA35" i="7"/>
  <c r="CP34" i="7"/>
  <c r="CN34" i="7"/>
  <c r="CS34" i="7"/>
  <c r="CO34" i="7"/>
  <c r="AO34" i="7"/>
  <c r="AR34" i="7"/>
  <c r="AM34" i="7"/>
  <c r="AN34" i="7"/>
  <c r="CO33" i="7"/>
  <c r="CN33" i="7"/>
  <c r="CS33" i="7"/>
  <c r="CP33" i="7"/>
  <c r="CR35" i="7"/>
  <c r="AC24" i="7"/>
  <c r="CK40" i="7"/>
  <c r="CH40" i="7"/>
  <c r="CG40" i="7"/>
  <c r="CF40" i="7"/>
  <c r="CH39" i="7"/>
  <c r="CG39" i="7"/>
  <c r="CF39" i="7"/>
  <c r="CJ41" i="7"/>
  <c r="CK39" i="7"/>
  <c r="CL38" i="7"/>
  <c r="BI39" i="7"/>
  <c r="AK44" i="7"/>
  <c r="AP71" i="7"/>
  <c r="AX90" i="7"/>
  <c r="AH49" i="7"/>
  <c r="AU36" i="7"/>
  <c r="AW36" i="7"/>
  <c r="AZ36" i="7"/>
  <c r="AV36" i="7"/>
  <c r="AG47" i="7"/>
  <c r="AJ47" i="7"/>
  <c r="AF47" i="7"/>
  <c r="AE47" i="7"/>
  <c r="AI49" i="7"/>
  <c r="AP72" i="7"/>
  <c r="BU24" i="7"/>
  <c r="BV24" i="7" s="1"/>
  <c r="BP24" i="7"/>
  <c r="BQ24" i="7"/>
  <c r="AH48" i="7"/>
  <c r="BF109" i="7"/>
  <c r="BF112" i="7"/>
  <c r="BA35" i="7"/>
  <c r="AP67" i="7"/>
  <c r="BF113" i="7"/>
  <c r="BF111" i="7"/>
  <c r="Y25" i="7"/>
  <c r="AB25" i="7"/>
  <c r="X25" i="7"/>
  <c r="AA26" i="7"/>
  <c r="AI48" i="7"/>
  <c r="AJ46" i="7"/>
  <c r="AF46" i="7"/>
  <c r="AE46" i="7"/>
  <c r="AG46" i="7"/>
  <c r="AX88" i="7"/>
  <c r="BG41" i="7"/>
  <c r="BH40" i="7"/>
  <c r="BE40" i="7"/>
  <c r="BD40" i="7"/>
  <c r="BC40" i="7"/>
  <c r="BS25" i="7"/>
  <c r="Z25" i="7"/>
  <c r="BF110" i="7"/>
  <c r="AX91" i="7"/>
  <c r="AX89" i="7"/>
  <c r="AY37" i="7"/>
  <c r="G50" i="7"/>
  <c r="CA50" i="7" s="1"/>
  <c r="G51" i="7"/>
  <c r="CA51" i="7" s="1"/>
  <c r="H70" i="7"/>
  <c r="CI70" i="7" s="1"/>
  <c r="H74" i="7"/>
  <c r="CI74" i="7" s="1"/>
  <c r="J115" i="7"/>
  <c r="CY115" i="7" s="1"/>
  <c r="I94" i="7"/>
  <c r="CQ94" i="7" s="1"/>
  <c r="H75" i="7"/>
  <c r="CI75" i="7" s="1"/>
  <c r="J118" i="7"/>
  <c r="CY118" i="7" s="1"/>
  <c r="J116" i="7"/>
  <c r="CY116" i="7" s="1"/>
  <c r="J117" i="7"/>
  <c r="CY117" i="7" s="1"/>
  <c r="J114" i="7"/>
  <c r="CY114" i="7" s="1"/>
  <c r="I92" i="7"/>
  <c r="CQ92" i="7" s="1"/>
  <c r="I95" i="7"/>
  <c r="CQ95" i="7" s="1"/>
  <c r="I93" i="7"/>
  <c r="CQ93" i="7" s="1"/>
  <c r="F26" i="7"/>
  <c r="L25" i="7"/>
  <c r="W26" i="7" l="1"/>
  <c r="CT33" i="7"/>
  <c r="AS34" i="7"/>
  <c r="CD37" i="7"/>
  <c r="AS35" i="7"/>
  <c r="CD38" i="7"/>
  <c r="CL39" i="7"/>
  <c r="DB35" i="7"/>
  <c r="DA36" i="7"/>
  <c r="CX36" i="7"/>
  <c r="CW36" i="7"/>
  <c r="CV36" i="7"/>
  <c r="AN36" i="7"/>
  <c r="AR36" i="7"/>
  <c r="AO36" i="7"/>
  <c r="AM36" i="7"/>
  <c r="CT34" i="7"/>
  <c r="AM37" i="7"/>
  <c r="AN37" i="7"/>
  <c r="AR37" i="7"/>
  <c r="AO37" i="7"/>
  <c r="CZ37" i="7"/>
  <c r="BX39" i="7"/>
  <c r="BY39" i="7"/>
  <c r="BZ39" i="7"/>
  <c r="CC39" i="7"/>
  <c r="CB40" i="7"/>
  <c r="BT27" i="7"/>
  <c r="BR26" i="7"/>
  <c r="CN35" i="7"/>
  <c r="CS35" i="7"/>
  <c r="CO35" i="7"/>
  <c r="CP35" i="7"/>
  <c r="CR36" i="7"/>
  <c r="AQ38" i="7"/>
  <c r="CK41" i="7"/>
  <c r="CG41" i="7"/>
  <c r="CF41" i="7"/>
  <c r="CH41" i="7"/>
  <c r="BI40" i="7"/>
  <c r="CL40" i="7"/>
  <c r="CJ42" i="7"/>
  <c r="AK47" i="7"/>
  <c r="BA36" i="7"/>
  <c r="AK46" i="7"/>
  <c r="AC25" i="7"/>
  <c r="BD41" i="7"/>
  <c r="BC41" i="7"/>
  <c r="BH41" i="7"/>
  <c r="BE41" i="7"/>
  <c r="AI51" i="7"/>
  <c r="AG49" i="7"/>
  <c r="AF49" i="7"/>
  <c r="AJ49" i="7"/>
  <c r="AE49" i="7"/>
  <c r="BF114" i="7"/>
  <c r="AX94" i="7"/>
  <c r="BF115" i="7"/>
  <c r="AP74" i="7"/>
  <c r="AF48" i="7"/>
  <c r="AI50" i="7"/>
  <c r="AG48" i="7"/>
  <c r="AJ48" i="7"/>
  <c r="AE48" i="7"/>
  <c r="AZ37" i="7"/>
  <c r="AW37" i="7"/>
  <c r="AV37" i="7"/>
  <c r="AU37" i="7"/>
  <c r="AY38" i="7"/>
  <c r="X26" i="7"/>
  <c r="Y26" i="7"/>
  <c r="AA27" i="7"/>
  <c r="AB26" i="7"/>
  <c r="AP75" i="7"/>
  <c r="BS26" i="7"/>
  <c r="Z26" i="7"/>
  <c r="BF117" i="7"/>
  <c r="BF116" i="7"/>
  <c r="BF118" i="7"/>
  <c r="AP70" i="7"/>
  <c r="AX93" i="7"/>
  <c r="AH51" i="7"/>
  <c r="AX95" i="7"/>
  <c r="AH50" i="7"/>
  <c r="BU25" i="7"/>
  <c r="BV25" i="7" s="1"/>
  <c r="BP25" i="7"/>
  <c r="BQ25" i="7"/>
  <c r="AX92" i="7"/>
  <c r="BG42" i="7"/>
  <c r="BG43" i="7" s="1"/>
  <c r="H73" i="7"/>
  <c r="CI73" i="7" s="1"/>
  <c r="G52" i="7"/>
  <c r="CA52" i="7" s="1"/>
  <c r="G53" i="7"/>
  <c r="CA53" i="7" s="1"/>
  <c r="I96" i="7"/>
  <c r="CQ96" i="7" s="1"/>
  <c r="J122" i="7"/>
  <c r="CY122" i="7" s="1"/>
  <c r="J123" i="7"/>
  <c r="CY123" i="7" s="1"/>
  <c r="I97" i="7"/>
  <c r="CQ97" i="7" s="1"/>
  <c r="I99" i="7"/>
  <c r="CQ99" i="7" s="1"/>
  <c r="J120" i="7"/>
  <c r="CY120" i="7" s="1"/>
  <c r="H78" i="7"/>
  <c r="CI78" i="7" s="1"/>
  <c r="H77" i="7"/>
  <c r="CI77" i="7" s="1"/>
  <c r="J119" i="7"/>
  <c r="CY119" i="7" s="1"/>
  <c r="J121" i="7"/>
  <c r="CY121" i="7" s="1"/>
  <c r="I98" i="7"/>
  <c r="CQ98" i="7" s="1"/>
  <c r="F27" i="7"/>
  <c r="L26" i="7"/>
  <c r="W27" i="7" l="1"/>
  <c r="DB36" i="7"/>
  <c r="CT35" i="7"/>
  <c r="AS36" i="7"/>
  <c r="AS37" i="7"/>
  <c r="CD39" i="7"/>
  <c r="CV37" i="7"/>
  <c r="CW37" i="7"/>
  <c r="CX37" i="7"/>
  <c r="DA37" i="7"/>
  <c r="BT28" i="7"/>
  <c r="BR27" i="7"/>
  <c r="BY40" i="7"/>
  <c r="BX40" i="7"/>
  <c r="CC40" i="7"/>
  <c r="BZ40" i="7"/>
  <c r="AN38" i="7"/>
  <c r="AO38" i="7"/>
  <c r="AM38" i="7"/>
  <c r="AR38" i="7"/>
  <c r="CZ38" i="7"/>
  <c r="CZ39" i="7" s="1"/>
  <c r="CO36" i="7"/>
  <c r="CP36" i="7"/>
  <c r="CS36" i="7"/>
  <c r="CN36" i="7"/>
  <c r="CR37" i="7"/>
  <c r="CB41" i="7"/>
  <c r="CB42" i="7" s="1"/>
  <c r="AQ39" i="7"/>
  <c r="BI41" i="7"/>
  <c r="CF42" i="7"/>
  <c r="CG42" i="7"/>
  <c r="CH42" i="7"/>
  <c r="CK42" i="7"/>
  <c r="CJ43" i="7"/>
  <c r="CL41" i="7"/>
  <c r="AK48" i="7"/>
  <c r="BA37" i="7"/>
  <c r="AK49" i="7"/>
  <c r="BE43" i="7"/>
  <c r="BD43" i="7"/>
  <c r="BH43" i="7"/>
  <c r="BC43" i="7"/>
  <c r="AX97" i="7"/>
  <c r="BU26" i="7"/>
  <c r="BV26" i="7" s="1"/>
  <c r="BP26" i="7"/>
  <c r="BQ26" i="7"/>
  <c r="BF123" i="7"/>
  <c r="AA28" i="7"/>
  <c r="AB27" i="7"/>
  <c r="Y27" i="7"/>
  <c r="X27" i="7"/>
  <c r="AG50" i="7"/>
  <c r="AI52" i="7"/>
  <c r="AJ50" i="7"/>
  <c r="AE50" i="7"/>
  <c r="AF50" i="7"/>
  <c r="BS27" i="7"/>
  <c r="Z27" i="7"/>
  <c r="AH53" i="7"/>
  <c r="BG44" i="7"/>
  <c r="AE51" i="7"/>
  <c r="AI53" i="7"/>
  <c r="AF51" i="7"/>
  <c r="AJ51" i="7"/>
  <c r="AG51" i="7"/>
  <c r="AX98" i="7"/>
  <c r="AW38" i="7"/>
  <c r="AU38" i="7"/>
  <c r="AV38" i="7"/>
  <c r="AZ38" i="7"/>
  <c r="AP77" i="7"/>
  <c r="BH42" i="7"/>
  <c r="BC42" i="7"/>
  <c r="BE42" i="7"/>
  <c r="BD42" i="7"/>
  <c r="BF122" i="7"/>
  <c r="AX96" i="7"/>
  <c r="AH52" i="7"/>
  <c r="AP73" i="7"/>
  <c r="BF119" i="7"/>
  <c r="AP78" i="7"/>
  <c r="BF121" i="7"/>
  <c r="BF120" i="7"/>
  <c r="AC26" i="7"/>
  <c r="AX99" i="7"/>
  <c r="AY39" i="7"/>
  <c r="G55" i="7"/>
  <c r="CA55" i="7" s="1"/>
  <c r="H76" i="7"/>
  <c r="CI76" i="7" s="1"/>
  <c r="G54" i="7"/>
  <c r="CA54" i="7" s="1"/>
  <c r="J127" i="7"/>
  <c r="CY127" i="7" s="1"/>
  <c r="J124" i="7"/>
  <c r="CY124" i="7" s="1"/>
  <c r="H80" i="7"/>
  <c r="CI80" i="7" s="1"/>
  <c r="I100" i="7"/>
  <c r="CQ100" i="7" s="1"/>
  <c r="I101" i="7"/>
  <c r="CQ101" i="7" s="1"/>
  <c r="J128" i="7"/>
  <c r="CY128" i="7" s="1"/>
  <c r="I102" i="7"/>
  <c r="CQ102" i="7" s="1"/>
  <c r="J126" i="7"/>
  <c r="CY126" i="7" s="1"/>
  <c r="H81" i="7"/>
  <c r="CI81" i="7" s="1"/>
  <c r="J125" i="7"/>
  <c r="CY125" i="7" s="1"/>
  <c r="I103" i="7"/>
  <c r="CQ103" i="7" s="1"/>
  <c r="F28" i="7"/>
  <c r="L27" i="7"/>
  <c r="W28" i="7" l="1"/>
  <c r="AS38" i="7"/>
  <c r="DB37" i="7"/>
  <c r="CD40" i="7"/>
  <c r="CL42" i="7"/>
  <c r="DA38" i="7"/>
  <c r="CX38" i="7"/>
  <c r="CW38" i="7"/>
  <c r="CV38" i="7"/>
  <c r="CX39" i="7"/>
  <c r="DA39" i="7"/>
  <c r="CW39" i="7"/>
  <c r="CV39" i="7"/>
  <c r="AN39" i="7"/>
  <c r="AR39" i="7"/>
  <c r="AO39" i="7"/>
  <c r="AM39" i="7"/>
  <c r="BX41" i="7"/>
  <c r="BY41" i="7"/>
  <c r="CB43" i="7"/>
  <c r="CC41" i="7"/>
  <c r="BZ41" i="7"/>
  <c r="BT29" i="7"/>
  <c r="BR28" i="7"/>
  <c r="CN37" i="7"/>
  <c r="CP37" i="7"/>
  <c r="CO37" i="7"/>
  <c r="CS37" i="7"/>
  <c r="CR38" i="7"/>
  <c r="BX42" i="7"/>
  <c r="BY42" i="7"/>
  <c r="CC42" i="7"/>
  <c r="BZ42" i="7"/>
  <c r="CZ40" i="7"/>
  <c r="CT36" i="7"/>
  <c r="AQ40" i="7"/>
  <c r="BA38" i="7"/>
  <c r="CG43" i="7"/>
  <c r="CK43" i="7"/>
  <c r="CF43" i="7"/>
  <c r="CH43" i="7"/>
  <c r="CJ44" i="7"/>
  <c r="BI43" i="7"/>
  <c r="AK50" i="7"/>
  <c r="AK51" i="7"/>
  <c r="AC27" i="7"/>
  <c r="AZ39" i="7"/>
  <c r="AW39" i="7"/>
  <c r="AU39" i="7"/>
  <c r="AV39" i="7"/>
  <c r="AY40" i="7"/>
  <c r="BC44" i="7"/>
  <c r="BH44" i="7"/>
  <c r="BE44" i="7"/>
  <c r="BD44" i="7"/>
  <c r="AX102" i="7"/>
  <c r="AX101" i="7"/>
  <c r="BF128" i="7"/>
  <c r="BU27" i="7"/>
  <c r="BV27" i="7" s="1"/>
  <c r="BQ27" i="7"/>
  <c r="BP27" i="7"/>
  <c r="AB28" i="7"/>
  <c r="AA29" i="7"/>
  <c r="Y28" i="7"/>
  <c r="X28" i="7"/>
  <c r="AX100" i="7"/>
  <c r="BI42" i="7"/>
  <c r="AP80" i="7"/>
  <c r="AJ52" i="7"/>
  <c r="AG52" i="7"/>
  <c r="AI54" i="7"/>
  <c r="AF54" i="7" s="1"/>
  <c r="AE52" i="7"/>
  <c r="AF52" i="7"/>
  <c r="BF124" i="7"/>
  <c r="AI55" i="7"/>
  <c r="AJ53" i="7"/>
  <c r="AE53" i="7"/>
  <c r="AF53" i="7"/>
  <c r="AG53" i="7"/>
  <c r="BF127" i="7"/>
  <c r="BS28" i="7"/>
  <c r="Z28" i="7"/>
  <c r="AX103" i="7"/>
  <c r="AH54" i="7"/>
  <c r="BF125" i="7"/>
  <c r="AP76" i="7"/>
  <c r="AP81" i="7"/>
  <c r="AH55" i="7"/>
  <c r="BF126" i="7"/>
  <c r="BG45" i="7"/>
  <c r="BG46" i="7" s="1"/>
  <c r="G56" i="7"/>
  <c r="CA56" i="7" s="1"/>
  <c r="H79" i="7"/>
  <c r="CI79" i="7" s="1"/>
  <c r="G57" i="7"/>
  <c r="CA57" i="7" s="1"/>
  <c r="J130" i="7"/>
  <c r="CY130" i="7" s="1"/>
  <c r="I107" i="7"/>
  <c r="CQ107" i="7" s="1"/>
  <c r="I106" i="7"/>
  <c r="CQ106" i="7" s="1"/>
  <c r="I104" i="7"/>
  <c r="CQ104" i="7" s="1"/>
  <c r="J129" i="7"/>
  <c r="CY129" i="7" s="1"/>
  <c r="J132" i="7"/>
  <c r="CY132" i="7" s="1"/>
  <c r="J133" i="7"/>
  <c r="CY133" i="7" s="1"/>
  <c r="H83" i="7"/>
  <c r="CI83" i="7" s="1"/>
  <c r="H84" i="7"/>
  <c r="CI84" i="7" s="1"/>
  <c r="J131" i="7"/>
  <c r="CY131" i="7" s="1"/>
  <c r="I105" i="7"/>
  <c r="CQ105" i="7" s="1"/>
  <c r="F29" i="7"/>
  <c r="L28" i="7"/>
  <c r="W29" i="7" l="1"/>
  <c r="DB39" i="7"/>
  <c r="DB38" i="7"/>
  <c r="AS39" i="7"/>
  <c r="CD42" i="7"/>
  <c r="CD41" i="7"/>
  <c r="CT37" i="7"/>
  <c r="CB44" i="7"/>
  <c r="CB45" i="7" s="1"/>
  <c r="BX43" i="7"/>
  <c r="BY43" i="7"/>
  <c r="CC43" i="7"/>
  <c r="BZ43" i="7"/>
  <c r="AM40" i="7"/>
  <c r="AN40" i="7"/>
  <c r="AR40" i="7"/>
  <c r="AO40" i="7"/>
  <c r="CZ41" i="7"/>
  <c r="DA40" i="7"/>
  <c r="CX40" i="7"/>
  <c r="CW40" i="7"/>
  <c r="CV40" i="7"/>
  <c r="CP38" i="7"/>
  <c r="CS38" i="7"/>
  <c r="CO38" i="7"/>
  <c r="CN38" i="7"/>
  <c r="BT30" i="7"/>
  <c r="BR29" i="7"/>
  <c r="AQ41" i="7"/>
  <c r="CR39" i="7"/>
  <c r="CL43" i="7"/>
  <c r="CF44" i="7"/>
  <c r="CK44" i="7"/>
  <c r="CH44" i="7"/>
  <c r="CG44" i="7"/>
  <c r="CJ45" i="7"/>
  <c r="CJ46" i="7" s="1"/>
  <c r="BA39" i="7"/>
  <c r="BI44" i="7"/>
  <c r="AK53" i="7"/>
  <c r="AK52" i="7"/>
  <c r="BC46" i="7"/>
  <c r="BD46" i="7"/>
  <c r="BH46" i="7"/>
  <c r="BE46" i="7"/>
  <c r="BF129" i="7"/>
  <c r="AE54" i="7"/>
  <c r="AG54" i="7"/>
  <c r="AJ54" i="7"/>
  <c r="AI56" i="7"/>
  <c r="BU28" i="7"/>
  <c r="BV28" i="7" s="1"/>
  <c r="BQ28" i="7"/>
  <c r="BP28" i="7"/>
  <c r="AX104" i="7"/>
  <c r="AX106" i="7"/>
  <c r="BF133" i="7"/>
  <c r="AX107" i="7"/>
  <c r="BF130" i="7"/>
  <c r="AY41" i="7"/>
  <c r="AZ40" i="7"/>
  <c r="AU40" i="7"/>
  <c r="AV40" i="7"/>
  <c r="AW40" i="7"/>
  <c r="Z29" i="7"/>
  <c r="BS29" i="7"/>
  <c r="AE55" i="7"/>
  <c r="AJ55" i="7"/>
  <c r="AI57" i="7"/>
  <c r="AG55" i="7"/>
  <c r="AF55" i="7"/>
  <c r="BC45" i="7"/>
  <c r="BH45" i="7"/>
  <c r="BD45" i="7"/>
  <c r="BE45" i="7"/>
  <c r="AP79" i="7"/>
  <c r="BF132" i="7"/>
  <c r="AH57" i="7"/>
  <c r="AX105" i="7"/>
  <c r="BG47" i="7"/>
  <c r="BG48" i="7" s="1"/>
  <c r="BF131" i="7"/>
  <c r="AH56" i="7"/>
  <c r="AP84" i="7"/>
  <c r="AP83" i="7"/>
  <c r="AC28" i="7"/>
  <c r="Y29" i="7"/>
  <c r="AA30" i="7"/>
  <c r="W30" i="7" s="1"/>
  <c r="X29" i="7"/>
  <c r="AB29" i="7"/>
  <c r="G59" i="7"/>
  <c r="CA59" i="7" s="1"/>
  <c r="H82" i="7"/>
  <c r="CI82" i="7" s="1"/>
  <c r="G58" i="7"/>
  <c r="CA58" i="7" s="1"/>
  <c r="I111" i="7"/>
  <c r="CQ111" i="7" s="1"/>
  <c r="I108" i="7"/>
  <c r="CQ108" i="7" s="1"/>
  <c r="J135" i="7"/>
  <c r="CY135" i="7" s="1"/>
  <c r="J136" i="7"/>
  <c r="CY136" i="7" s="1"/>
  <c r="J138" i="7"/>
  <c r="CY138" i="7" s="1"/>
  <c r="I110" i="7"/>
  <c r="CQ110" i="7" s="1"/>
  <c r="I109" i="7"/>
  <c r="CQ109" i="7" s="1"/>
  <c r="H86" i="7"/>
  <c r="CI86" i="7" s="1"/>
  <c r="H87" i="7"/>
  <c r="CI87" i="7" s="1"/>
  <c r="J137" i="7"/>
  <c r="CY137" i="7" s="1"/>
  <c r="J134" i="7"/>
  <c r="CY134" i="7" s="1"/>
  <c r="F30" i="7"/>
  <c r="L29" i="7"/>
  <c r="CD43" i="7" l="1"/>
  <c r="AS40" i="7"/>
  <c r="DB40" i="7"/>
  <c r="CN39" i="7"/>
  <c r="CS39" i="7"/>
  <c r="CO39" i="7"/>
  <c r="CP39" i="7"/>
  <c r="AO41" i="7"/>
  <c r="AN41" i="7"/>
  <c r="AR41" i="7"/>
  <c r="AM41" i="7"/>
  <c r="BT31" i="7"/>
  <c r="BR30" i="7"/>
  <c r="CB46" i="7"/>
  <c r="CB47" i="7" s="1"/>
  <c r="BX45" i="7"/>
  <c r="BY45" i="7"/>
  <c r="BZ45" i="7"/>
  <c r="CC45" i="7"/>
  <c r="CR40" i="7"/>
  <c r="CR41" i="7" s="1"/>
  <c r="AQ42" i="7"/>
  <c r="CV41" i="7"/>
  <c r="CW41" i="7"/>
  <c r="CX41" i="7"/>
  <c r="DA41" i="7"/>
  <c r="CZ42" i="7"/>
  <c r="BX44" i="7"/>
  <c r="BY44" i="7"/>
  <c r="BZ44" i="7"/>
  <c r="CC44" i="7"/>
  <c r="CT38" i="7"/>
  <c r="CJ47" i="7"/>
  <c r="CJ48" i="7" s="1"/>
  <c r="CG46" i="7"/>
  <c r="CH46" i="7"/>
  <c r="CF46" i="7"/>
  <c r="CK46" i="7"/>
  <c r="CF45" i="7"/>
  <c r="CG45" i="7"/>
  <c r="CK45" i="7"/>
  <c r="CH45" i="7"/>
  <c r="BI45" i="7"/>
  <c r="CL44" i="7"/>
  <c r="BI46" i="7"/>
  <c r="AK55" i="7"/>
  <c r="BF135" i="7"/>
  <c r="AX108" i="7"/>
  <c r="AC29" i="7"/>
  <c r="BA40" i="7"/>
  <c r="BE47" i="7"/>
  <c r="BC47" i="7"/>
  <c r="BH47" i="7"/>
  <c r="BD47" i="7"/>
  <c r="AV41" i="7"/>
  <c r="AZ41" i="7"/>
  <c r="AU41" i="7"/>
  <c r="AW41" i="7"/>
  <c r="AY42" i="7"/>
  <c r="BU29" i="7"/>
  <c r="BV29" i="7" s="1"/>
  <c r="BP29" i="7"/>
  <c r="BQ29" i="7"/>
  <c r="AH59" i="7"/>
  <c r="BF137" i="7"/>
  <c r="AI59" i="7"/>
  <c r="AJ57" i="7"/>
  <c r="AE57" i="7"/>
  <c r="AF57" i="7"/>
  <c r="AG57" i="7"/>
  <c r="BH48" i="7"/>
  <c r="BD48" i="7"/>
  <c r="BC48" i="7"/>
  <c r="BE48" i="7"/>
  <c r="AX111" i="7"/>
  <c r="Y30" i="7"/>
  <c r="X30" i="7"/>
  <c r="AB30" i="7"/>
  <c r="AA31" i="7"/>
  <c r="AH58" i="7"/>
  <c r="AP86" i="7"/>
  <c r="AX109" i="7"/>
  <c r="BF138" i="7"/>
  <c r="AF56" i="7"/>
  <c r="AG56" i="7"/>
  <c r="AE56" i="7"/>
  <c r="AI58" i="7"/>
  <c r="AJ56" i="7"/>
  <c r="BG49" i="7"/>
  <c r="BS30" i="7"/>
  <c r="Z30" i="7"/>
  <c r="BF134" i="7"/>
  <c r="AP82" i="7"/>
  <c r="AP87" i="7"/>
  <c r="AX110" i="7"/>
  <c r="BF136" i="7"/>
  <c r="AK54" i="7"/>
  <c r="G61" i="7"/>
  <c r="CA61" i="7" s="1"/>
  <c r="H85" i="7"/>
  <c r="CI85" i="7" s="1"/>
  <c r="G60" i="7"/>
  <c r="CA60" i="7" s="1"/>
  <c r="J143" i="7"/>
  <c r="CY143" i="7" s="1"/>
  <c r="J139" i="7"/>
  <c r="CY139" i="7" s="1"/>
  <c r="H89" i="7"/>
  <c r="CI89" i="7" s="1"/>
  <c r="J141" i="7"/>
  <c r="CY141" i="7" s="1"/>
  <c r="H90" i="7"/>
  <c r="CI90" i="7" s="1"/>
  <c r="I113" i="7"/>
  <c r="CQ113" i="7" s="1"/>
  <c r="I114" i="7"/>
  <c r="CQ114" i="7" s="1"/>
  <c r="I112" i="7"/>
  <c r="CQ112" i="7" s="1"/>
  <c r="J142" i="7"/>
  <c r="CY142" i="7" s="1"/>
  <c r="J140" i="7"/>
  <c r="CY140" i="7" s="1"/>
  <c r="I115" i="7"/>
  <c r="CQ115" i="7" s="1"/>
  <c r="F31" i="7"/>
  <c r="L30" i="7"/>
  <c r="AS41" i="7" l="1"/>
  <c r="W31" i="7"/>
  <c r="CD44" i="7"/>
  <c r="CT39" i="7"/>
  <c r="CD45" i="7"/>
  <c r="CL46" i="7"/>
  <c r="DB41" i="7"/>
  <c r="CR42" i="7"/>
  <c r="CR43" i="7" s="1"/>
  <c r="CR44" i="7" s="1"/>
  <c r="BX47" i="7"/>
  <c r="BY47" i="7"/>
  <c r="BZ47" i="7"/>
  <c r="CC47" i="7"/>
  <c r="AN42" i="7"/>
  <c r="AR42" i="7"/>
  <c r="AO42" i="7"/>
  <c r="AM42" i="7"/>
  <c r="CN40" i="7"/>
  <c r="CP40" i="7"/>
  <c r="CO40" i="7"/>
  <c r="CS40" i="7"/>
  <c r="BT32" i="7"/>
  <c r="BR31" i="7"/>
  <c r="AQ43" i="7"/>
  <c r="CV42" i="7"/>
  <c r="CW42" i="7"/>
  <c r="CX42" i="7"/>
  <c r="DA42" i="7"/>
  <c r="CN41" i="7"/>
  <c r="CO41" i="7"/>
  <c r="CP41" i="7"/>
  <c r="CS41" i="7"/>
  <c r="CZ43" i="7"/>
  <c r="BX46" i="7"/>
  <c r="BY46" i="7"/>
  <c r="CB48" i="7"/>
  <c r="BZ46" i="7"/>
  <c r="CC46" i="7"/>
  <c r="CL45" i="7"/>
  <c r="CF48" i="7"/>
  <c r="CK48" i="7"/>
  <c r="CG48" i="7"/>
  <c r="CH48" i="7"/>
  <c r="CJ49" i="7"/>
  <c r="CK47" i="7"/>
  <c r="CF47" i="7"/>
  <c r="CH47" i="7"/>
  <c r="CG47" i="7"/>
  <c r="BI47" i="7"/>
  <c r="BA41" i="7"/>
  <c r="AC30" i="7"/>
  <c r="BG50" i="7"/>
  <c r="BD49" i="7"/>
  <c r="BE49" i="7"/>
  <c r="BH49" i="7"/>
  <c r="BC49" i="7"/>
  <c r="AX112" i="7"/>
  <c r="BI48" i="7"/>
  <c r="BU30" i="7"/>
  <c r="BV30" i="7" s="1"/>
  <c r="BP30" i="7"/>
  <c r="BQ30" i="7"/>
  <c r="AP90" i="7"/>
  <c r="AG58" i="7"/>
  <c r="AJ58" i="7"/>
  <c r="AE58" i="7"/>
  <c r="AI60" i="7"/>
  <c r="AF58" i="7"/>
  <c r="AA32" i="7"/>
  <c r="Y31" i="7"/>
  <c r="AB31" i="7"/>
  <c r="X31" i="7"/>
  <c r="BF141" i="7"/>
  <c r="BF142" i="7"/>
  <c r="AX114" i="7"/>
  <c r="AP89" i="7"/>
  <c r="AK56" i="7"/>
  <c r="AX113" i="7"/>
  <c r="BF139" i="7"/>
  <c r="AK57" i="7"/>
  <c r="AW42" i="7"/>
  <c r="AU42" i="7"/>
  <c r="AV42" i="7"/>
  <c r="AZ42" i="7"/>
  <c r="AH61" i="7"/>
  <c r="AF59" i="7"/>
  <c r="AE59" i="7"/>
  <c r="AI61" i="7"/>
  <c r="AG59" i="7"/>
  <c r="AJ59" i="7"/>
  <c r="BF140" i="7"/>
  <c r="BF143" i="7"/>
  <c r="BS31" i="7"/>
  <c r="Z31" i="7"/>
  <c r="AH60" i="7"/>
  <c r="AX115" i="7"/>
  <c r="AP85" i="7"/>
  <c r="AY43" i="7"/>
  <c r="G62" i="7"/>
  <c r="CA62" i="7" s="1"/>
  <c r="H88" i="7"/>
  <c r="CI88" i="7" s="1"/>
  <c r="G63" i="7"/>
  <c r="CA63" i="7" s="1"/>
  <c r="I118" i="7"/>
  <c r="CQ118" i="7" s="1"/>
  <c r="I116" i="7"/>
  <c r="CQ116" i="7" s="1"/>
  <c r="J146" i="7"/>
  <c r="CY146" i="7" s="1"/>
  <c r="J148" i="7"/>
  <c r="CY148" i="7" s="1"/>
  <c r="H92" i="7"/>
  <c r="CI92" i="7" s="1"/>
  <c r="I119" i="7"/>
  <c r="CQ119" i="7" s="1"/>
  <c r="J145" i="7"/>
  <c r="CY145" i="7" s="1"/>
  <c r="J147" i="7"/>
  <c r="CY147" i="7" s="1"/>
  <c r="I117" i="7"/>
  <c r="CQ117" i="7" s="1"/>
  <c r="H93" i="7"/>
  <c r="CI93" i="7" s="1"/>
  <c r="J144" i="7"/>
  <c r="CY144" i="7" s="1"/>
  <c r="F32" i="7"/>
  <c r="L31" i="7"/>
  <c r="W32" i="7" l="1"/>
  <c r="AK58" i="7"/>
  <c r="DB42" i="7"/>
  <c r="CD47" i="7"/>
  <c r="AS42" i="7"/>
  <c r="CT40" i="7"/>
  <c r="CS42" i="7"/>
  <c r="CP42" i="7"/>
  <c r="CO42" i="7"/>
  <c r="CN42" i="7"/>
  <c r="CD46" i="7"/>
  <c r="CZ44" i="7"/>
  <c r="CB49" i="7"/>
  <c r="CB50" i="7" s="1"/>
  <c r="BZ48" i="7"/>
  <c r="BX48" i="7"/>
  <c r="BY48" i="7"/>
  <c r="CC48" i="7"/>
  <c r="CN44" i="7"/>
  <c r="CO44" i="7"/>
  <c r="CS44" i="7"/>
  <c r="CP44" i="7"/>
  <c r="CW43" i="7"/>
  <c r="CV43" i="7"/>
  <c r="CX43" i="7"/>
  <c r="DA43" i="7"/>
  <c r="CR45" i="7"/>
  <c r="AR43" i="7"/>
  <c r="AO43" i="7"/>
  <c r="AM43" i="7"/>
  <c r="AN43" i="7"/>
  <c r="CT41" i="7"/>
  <c r="CO43" i="7"/>
  <c r="CP43" i="7"/>
  <c r="CS43" i="7"/>
  <c r="CN43" i="7"/>
  <c r="BT33" i="7"/>
  <c r="BR32" i="7"/>
  <c r="AQ44" i="7"/>
  <c r="CL47" i="7"/>
  <c r="CJ50" i="7"/>
  <c r="CJ51" i="7" s="1"/>
  <c r="CK49" i="7"/>
  <c r="CG49" i="7"/>
  <c r="CH49" i="7"/>
  <c r="CF49" i="7"/>
  <c r="CL48" i="7"/>
  <c r="BA42" i="7"/>
  <c r="AP92" i="7"/>
  <c r="BF145" i="7"/>
  <c r="AX116" i="7"/>
  <c r="AX118" i="7"/>
  <c r="AZ43" i="7"/>
  <c r="AU43" i="7"/>
  <c r="AW43" i="7"/>
  <c r="AV43" i="7"/>
  <c r="AC31" i="7"/>
  <c r="BI49" i="7"/>
  <c r="AX119" i="7"/>
  <c r="BS32" i="7"/>
  <c r="Z32" i="7"/>
  <c r="AH63" i="7"/>
  <c r="BU31" i="7"/>
  <c r="BV31" i="7" s="1"/>
  <c r="BP31" i="7"/>
  <c r="BQ31" i="7"/>
  <c r="BF148" i="7"/>
  <c r="BF146" i="7"/>
  <c r="BF144" i="7"/>
  <c r="AP88" i="7"/>
  <c r="AK59" i="7"/>
  <c r="AY44" i="7"/>
  <c r="AB32" i="7"/>
  <c r="X32" i="7"/>
  <c r="AA33" i="7"/>
  <c r="W33" i="7" s="1"/>
  <c r="Y32" i="7"/>
  <c r="BE50" i="7"/>
  <c r="BH50" i="7"/>
  <c r="BC50" i="7"/>
  <c r="BD50" i="7"/>
  <c r="AG61" i="7"/>
  <c r="AF61" i="7"/>
  <c r="AJ61" i="7"/>
  <c r="AE61" i="7"/>
  <c r="AI63" i="7"/>
  <c r="BG51" i="7"/>
  <c r="AP93" i="7"/>
  <c r="AH62" i="7"/>
  <c r="AX117" i="7"/>
  <c r="BF147" i="7"/>
  <c r="AI62" i="7"/>
  <c r="AG60" i="7"/>
  <c r="AF60" i="7"/>
  <c r="AJ60" i="7"/>
  <c r="AE60" i="7"/>
  <c r="G64" i="7"/>
  <c r="CA64" i="7" s="1"/>
  <c r="H91" i="7"/>
  <c r="CI91" i="7" s="1"/>
  <c r="G65" i="7"/>
  <c r="CA65" i="7" s="1"/>
  <c r="J152" i="7"/>
  <c r="CY152" i="7" s="1"/>
  <c r="J153" i="7"/>
  <c r="CY153" i="7" s="1"/>
  <c r="H95" i="7"/>
  <c r="CI95" i="7" s="1"/>
  <c r="J149" i="7"/>
  <c r="CY149" i="7" s="1"/>
  <c r="H96" i="7"/>
  <c r="CI96" i="7" s="1"/>
  <c r="J150" i="7"/>
  <c r="CY150" i="7" s="1"/>
  <c r="I123" i="7"/>
  <c r="CQ123" i="7" s="1"/>
  <c r="I121" i="7"/>
  <c r="CQ121" i="7" s="1"/>
  <c r="J151" i="7"/>
  <c r="CY151" i="7" s="1"/>
  <c r="I120" i="7"/>
  <c r="CQ120" i="7" s="1"/>
  <c r="I122" i="7"/>
  <c r="CQ122" i="7" s="1"/>
  <c r="F33" i="7"/>
  <c r="L32" i="7"/>
  <c r="CT43" i="7" l="1"/>
  <c r="CT44" i="7"/>
  <c r="CT42" i="7"/>
  <c r="DB43" i="7"/>
  <c r="CD48" i="7"/>
  <c r="AS43" i="7"/>
  <c r="BT34" i="7"/>
  <c r="BR33" i="7"/>
  <c r="CN45" i="7"/>
  <c r="CO45" i="7"/>
  <c r="CP45" i="7"/>
  <c r="CS45" i="7"/>
  <c r="BY50" i="7"/>
  <c r="BX50" i="7"/>
  <c r="BZ50" i="7"/>
  <c r="CC50" i="7"/>
  <c r="CL49" i="7"/>
  <c r="BY49" i="7"/>
  <c r="BX49" i="7"/>
  <c r="CB51" i="7"/>
  <c r="BZ49" i="7"/>
  <c r="CC49" i="7"/>
  <c r="CX44" i="7"/>
  <c r="DA44" i="7"/>
  <c r="CW44" i="7"/>
  <c r="CV44" i="7"/>
  <c r="CZ45" i="7"/>
  <c r="CR46" i="7"/>
  <c r="AN44" i="7"/>
  <c r="AR44" i="7"/>
  <c r="AO44" i="7"/>
  <c r="AM44" i="7"/>
  <c r="AQ45" i="7"/>
  <c r="CK51" i="7"/>
  <c r="CF51" i="7"/>
  <c r="CH51" i="7"/>
  <c r="CG51" i="7"/>
  <c r="CJ52" i="7"/>
  <c r="CG50" i="7"/>
  <c r="CF50" i="7"/>
  <c r="CK50" i="7"/>
  <c r="CH50" i="7"/>
  <c r="BA43" i="7"/>
  <c r="AK61" i="7"/>
  <c r="BI50" i="7"/>
  <c r="AC32" i="7"/>
  <c r="AW44" i="7"/>
  <c r="AV44" i="7"/>
  <c r="AZ44" i="7"/>
  <c r="AU44" i="7"/>
  <c r="AP91" i="7"/>
  <c r="AB33" i="7"/>
  <c r="X33" i="7"/>
  <c r="Y33" i="7"/>
  <c r="AA34" i="7"/>
  <c r="W34" i="7" s="1"/>
  <c r="AE63" i="7"/>
  <c r="AG63" i="7"/>
  <c r="AJ63" i="7"/>
  <c r="AI65" i="7"/>
  <c r="AF63" i="7"/>
  <c r="AH64" i="7"/>
  <c r="BU32" i="7"/>
  <c r="BV32" i="7" s="1"/>
  <c r="BQ32" i="7"/>
  <c r="BP32" i="7"/>
  <c r="AX123" i="7"/>
  <c r="BF150" i="7"/>
  <c r="BF149" i="7"/>
  <c r="AF62" i="7"/>
  <c r="AG62" i="7"/>
  <c r="AJ62" i="7"/>
  <c r="AI64" i="7"/>
  <c r="AE62" i="7"/>
  <c r="BF153" i="7"/>
  <c r="AY45" i="7"/>
  <c r="AX120" i="7"/>
  <c r="AP96" i="7"/>
  <c r="AP95" i="7"/>
  <c r="BF152" i="7"/>
  <c r="BS33" i="7"/>
  <c r="Z33" i="7"/>
  <c r="BF151" i="7"/>
  <c r="AX121" i="7"/>
  <c r="AX122" i="7"/>
  <c r="AH65" i="7"/>
  <c r="AK60" i="7"/>
  <c r="BH51" i="7"/>
  <c r="BC51" i="7"/>
  <c r="BD51" i="7"/>
  <c r="BE51" i="7"/>
  <c r="BG52" i="7"/>
  <c r="G66" i="7"/>
  <c r="CA66" i="7" s="1"/>
  <c r="G67" i="7"/>
  <c r="CA67" i="7" s="1"/>
  <c r="H94" i="7"/>
  <c r="CI94" i="7" s="1"/>
  <c r="J156" i="7"/>
  <c r="CY156" i="7" s="1"/>
  <c r="J158" i="7"/>
  <c r="CY158" i="7" s="1"/>
  <c r="I124" i="7"/>
  <c r="CQ124" i="7" s="1"/>
  <c r="I127" i="7"/>
  <c r="CQ127" i="7" s="1"/>
  <c r="J154" i="7"/>
  <c r="CY154" i="7" s="1"/>
  <c r="I126" i="7"/>
  <c r="CQ126" i="7" s="1"/>
  <c r="H99" i="7"/>
  <c r="CI99" i="7" s="1"/>
  <c r="J157" i="7"/>
  <c r="CY157" i="7" s="1"/>
  <c r="I125" i="7"/>
  <c r="CQ125" i="7" s="1"/>
  <c r="J155" i="7"/>
  <c r="CY155" i="7" s="1"/>
  <c r="H98" i="7"/>
  <c r="CI98" i="7" s="1"/>
  <c r="F34" i="7"/>
  <c r="L33" i="7"/>
  <c r="CD49" i="7" l="1"/>
  <c r="CD50" i="7"/>
  <c r="DB44" i="7"/>
  <c r="CT45" i="7"/>
  <c r="AK62" i="7"/>
  <c r="AK63" i="7"/>
  <c r="AS44" i="7"/>
  <c r="BX51" i="7"/>
  <c r="BY51" i="7"/>
  <c r="BZ51" i="7"/>
  <c r="CC51" i="7"/>
  <c r="CR47" i="7"/>
  <c r="CR48" i="7" s="1"/>
  <c r="CO46" i="7"/>
  <c r="CS46" i="7"/>
  <c r="CN46" i="7"/>
  <c r="CP46" i="7"/>
  <c r="CZ46" i="7"/>
  <c r="CZ47" i="7" s="1"/>
  <c r="DA45" i="7"/>
  <c r="CW45" i="7"/>
  <c r="CV45" i="7"/>
  <c r="CX45" i="7"/>
  <c r="CB52" i="7"/>
  <c r="CB53" i="7" s="1"/>
  <c r="AN45" i="7"/>
  <c r="AR45" i="7"/>
  <c r="AO45" i="7"/>
  <c r="AM45" i="7"/>
  <c r="AQ46" i="7"/>
  <c r="BR34" i="7"/>
  <c r="BT35" i="7"/>
  <c r="CL50" i="7"/>
  <c r="CJ53" i="7"/>
  <c r="CJ54" i="7" s="1"/>
  <c r="CK52" i="7"/>
  <c r="CH52" i="7"/>
  <c r="CG52" i="7"/>
  <c r="CF52" i="7"/>
  <c r="BA44" i="7"/>
  <c r="CL51" i="7"/>
  <c r="BI51" i="7"/>
  <c r="BU33" i="7"/>
  <c r="BV33" i="7" s="1"/>
  <c r="BQ33" i="7"/>
  <c r="BP33" i="7"/>
  <c r="AC33" i="7"/>
  <c r="AJ64" i="7"/>
  <c r="AI66" i="7"/>
  <c r="AG64" i="7"/>
  <c r="AE64" i="7"/>
  <c r="AF64" i="7"/>
  <c r="BF156" i="7"/>
  <c r="BS34" i="7"/>
  <c r="Z34" i="7"/>
  <c r="AP94" i="7"/>
  <c r="AX124" i="7"/>
  <c r="BF158" i="7"/>
  <c r="AE65" i="7"/>
  <c r="AJ65" i="7"/>
  <c r="AF65" i="7"/>
  <c r="AI67" i="7"/>
  <c r="AG65" i="7"/>
  <c r="AX127" i="7"/>
  <c r="AP98" i="7"/>
  <c r="AX125" i="7"/>
  <c r="AH67" i="7"/>
  <c r="BF155" i="7"/>
  <c r="AY46" i="7"/>
  <c r="AV45" i="7"/>
  <c r="AU45" i="7"/>
  <c r="AW45" i="7"/>
  <c r="AZ45" i="7"/>
  <c r="AH66" i="7"/>
  <c r="BF157" i="7"/>
  <c r="AX126" i="7"/>
  <c r="BE52" i="7"/>
  <c r="BH52" i="7"/>
  <c r="BD52" i="7"/>
  <c r="BC52" i="7"/>
  <c r="BG53" i="7"/>
  <c r="AA35" i="7"/>
  <c r="W35" i="7" s="1"/>
  <c r="Y34" i="7"/>
  <c r="X34" i="7"/>
  <c r="AB34" i="7"/>
  <c r="AP99" i="7"/>
  <c r="BF154" i="7"/>
  <c r="G68" i="7"/>
  <c r="CA68" i="7" s="1"/>
  <c r="G69" i="7"/>
  <c r="CA69" i="7" s="1"/>
  <c r="H97" i="7"/>
  <c r="CI97" i="7" s="1"/>
  <c r="I129" i="7"/>
  <c r="CQ129" i="7" s="1"/>
  <c r="I128" i="7"/>
  <c r="CQ128" i="7" s="1"/>
  <c r="J163" i="7"/>
  <c r="CY163" i="7" s="1"/>
  <c r="J160" i="7"/>
  <c r="CY160" i="7" s="1"/>
  <c r="I130" i="7"/>
  <c r="CQ130" i="7" s="1"/>
  <c r="J159" i="7"/>
  <c r="CY159" i="7" s="1"/>
  <c r="I131" i="7"/>
  <c r="CQ131" i="7" s="1"/>
  <c r="H101" i="7"/>
  <c r="CI101" i="7" s="1"/>
  <c r="J162" i="7"/>
  <c r="CY162" i="7" s="1"/>
  <c r="H102" i="7"/>
  <c r="CI102" i="7" s="1"/>
  <c r="J161" i="7"/>
  <c r="CY161" i="7" s="1"/>
  <c r="F35" i="7"/>
  <c r="L34" i="7"/>
  <c r="BA45" i="7" l="1"/>
  <c r="DB45" i="7"/>
  <c r="CT46" i="7"/>
  <c r="CD51" i="7"/>
  <c r="CL52" i="7"/>
  <c r="AS45" i="7"/>
  <c r="CB54" i="7"/>
  <c r="CB55" i="7" s="1"/>
  <c r="BY53" i="7"/>
  <c r="BX53" i="7"/>
  <c r="CC53" i="7"/>
  <c r="BZ53" i="7"/>
  <c r="CS48" i="7"/>
  <c r="CO48" i="7"/>
  <c r="CP48" i="7"/>
  <c r="CN48" i="7"/>
  <c r="BT36" i="7"/>
  <c r="BR35" i="7"/>
  <c r="AO46" i="7"/>
  <c r="AM46" i="7"/>
  <c r="AR46" i="7"/>
  <c r="AN46" i="7"/>
  <c r="AQ47" i="7"/>
  <c r="CS47" i="7"/>
  <c r="CN47" i="7"/>
  <c r="CO47" i="7"/>
  <c r="CP47" i="7"/>
  <c r="CX46" i="7"/>
  <c r="CV46" i="7"/>
  <c r="CW46" i="7"/>
  <c r="DA46" i="7"/>
  <c r="CZ48" i="7"/>
  <c r="CZ49" i="7" s="1"/>
  <c r="CW47" i="7"/>
  <c r="CV47" i="7"/>
  <c r="DA47" i="7"/>
  <c r="CX47" i="7"/>
  <c r="BZ52" i="7"/>
  <c r="CC52" i="7"/>
  <c r="BY52" i="7"/>
  <c r="BX52" i="7"/>
  <c r="CR49" i="7"/>
  <c r="CR50" i="7" s="1"/>
  <c r="CG54" i="7"/>
  <c r="CH54" i="7"/>
  <c r="CK54" i="7"/>
  <c r="CF54" i="7"/>
  <c r="CJ55" i="7"/>
  <c r="CG53" i="7"/>
  <c r="CF53" i="7"/>
  <c r="CH53" i="7"/>
  <c r="CK53" i="7"/>
  <c r="BI52" i="7"/>
  <c r="AK64" i="7"/>
  <c r="AG66" i="7"/>
  <c r="AE66" i="7"/>
  <c r="AJ66" i="7"/>
  <c r="AI68" i="7"/>
  <c r="AF66" i="7"/>
  <c r="AX129" i="7"/>
  <c r="AC34" i="7"/>
  <c r="AH69" i="7"/>
  <c r="AX128" i="7"/>
  <c r="BS35" i="7"/>
  <c r="Z35" i="7"/>
  <c r="BF161" i="7"/>
  <c r="AH68" i="7"/>
  <c r="Y35" i="7"/>
  <c r="AA36" i="7"/>
  <c r="W36" i="7" s="1"/>
  <c r="AB35" i="7"/>
  <c r="X35" i="7"/>
  <c r="BF160" i="7"/>
  <c r="BF162" i="7"/>
  <c r="BD53" i="7"/>
  <c r="BC53" i="7"/>
  <c r="BE53" i="7"/>
  <c r="BH53" i="7"/>
  <c r="AZ46" i="7"/>
  <c r="AV46" i="7"/>
  <c r="AW46" i="7"/>
  <c r="AU46" i="7"/>
  <c r="AY47" i="7"/>
  <c r="AF67" i="7"/>
  <c r="AE67" i="7"/>
  <c r="AJ67" i="7"/>
  <c r="AI69" i="7"/>
  <c r="AG67" i="7"/>
  <c r="BU34" i="7"/>
  <c r="BV34" i="7" s="1"/>
  <c r="BQ34" i="7"/>
  <c r="BP34" i="7"/>
  <c r="BF163" i="7"/>
  <c r="AP97" i="7"/>
  <c r="AP102" i="7"/>
  <c r="AP101" i="7"/>
  <c r="BG54" i="7"/>
  <c r="AK65" i="7"/>
  <c r="AX131" i="7"/>
  <c r="BF159" i="7"/>
  <c r="AX130" i="7"/>
  <c r="G70" i="7"/>
  <c r="CA70" i="7" s="1"/>
  <c r="G71" i="7"/>
  <c r="CA71" i="7" s="1"/>
  <c r="H100" i="7"/>
  <c r="CI100" i="7" s="1"/>
  <c r="J166" i="7"/>
  <c r="CY166" i="7" s="1"/>
  <c r="J165" i="7"/>
  <c r="CY165" i="7" s="1"/>
  <c r="H104" i="7"/>
  <c r="CI104" i="7" s="1"/>
  <c r="J164" i="7"/>
  <c r="CY164" i="7" s="1"/>
  <c r="I134" i="7"/>
  <c r="CQ134" i="7" s="1"/>
  <c r="I133" i="7"/>
  <c r="CQ133" i="7" s="1"/>
  <c r="H105" i="7"/>
  <c r="CI105" i="7" s="1"/>
  <c r="I135" i="7"/>
  <c r="CQ135" i="7" s="1"/>
  <c r="J167" i="7"/>
  <c r="CY167" i="7" s="1"/>
  <c r="J168" i="7"/>
  <c r="CY168" i="7" s="1"/>
  <c r="I132" i="7"/>
  <c r="CQ132" i="7" s="1"/>
  <c r="F36" i="7"/>
  <c r="L35" i="7"/>
  <c r="CD53" i="7" l="1"/>
  <c r="CD52" i="7"/>
  <c r="CT48" i="7"/>
  <c r="AS46" i="7"/>
  <c r="DB47" i="7"/>
  <c r="CT47" i="7"/>
  <c r="CL54" i="7"/>
  <c r="CR51" i="7"/>
  <c r="CP51" i="7" s="1"/>
  <c r="DB46" i="7"/>
  <c r="DA49" i="7"/>
  <c r="CV49" i="7"/>
  <c r="CW49" i="7"/>
  <c r="CX49" i="7"/>
  <c r="AN47" i="7"/>
  <c r="AR47" i="7"/>
  <c r="AO47" i="7"/>
  <c r="AM47" i="7"/>
  <c r="CO50" i="7"/>
  <c r="CP50" i="7"/>
  <c r="CS50" i="7"/>
  <c r="CN50" i="7"/>
  <c r="AQ48" i="7"/>
  <c r="AQ49" i="7" s="1"/>
  <c r="CB56" i="7"/>
  <c r="CB57" i="7" s="1"/>
  <c r="BX55" i="7"/>
  <c r="BY55" i="7"/>
  <c r="BZ55" i="7"/>
  <c r="CC55" i="7"/>
  <c r="BT37" i="7"/>
  <c r="BR36" i="7"/>
  <c r="BX54" i="7"/>
  <c r="BY54" i="7"/>
  <c r="CC54" i="7"/>
  <c r="BZ54" i="7"/>
  <c r="CP49" i="7"/>
  <c r="CS49" i="7"/>
  <c r="CN49" i="7"/>
  <c r="CO49" i="7"/>
  <c r="DA48" i="7"/>
  <c r="CV48" i="7"/>
  <c r="CX48" i="7"/>
  <c r="CW48" i="7"/>
  <c r="CZ50" i="7"/>
  <c r="CL53" i="7"/>
  <c r="BI53" i="7"/>
  <c r="CJ56" i="7"/>
  <c r="CJ57" i="7" s="1"/>
  <c r="CH55" i="7"/>
  <c r="CK55" i="7"/>
  <c r="CG55" i="7"/>
  <c r="CF55" i="7"/>
  <c r="AK66" i="7"/>
  <c r="AP104" i="7"/>
  <c r="AG69" i="7"/>
  <c r="AE69" i="7"/>
  <c r="AI71" i="7"/>
  <c r="AJ69" i="7"/>
  <c r="AF69" i="7"/>
  <c r="Y36" i="7"/>
  <c r="AA37" i="7"/>
  <c r="W37" i="7" s="1"/>
  <c r="AB36" i="7"/>
  <c r="X36" i="7"/>
  <c r="BS36" i="7"/>
  <c r="Z36" i="7"/>
  <c r="AP100" i="7"/>
  <c r="AK67" i="7"/>
  <c r="BF166" i="7"/>
  <c r="BD54" i="7"/>
  <c r="BC54" i="7"/>
  <c r="BH54" i="7"/>
  <c r="BE54" i="7"/>
  <c r="AY48" i="7"/>
  <c r="AY49" i="7" s="1"/>
  <c r="AV47" i="7"/>
  <c r="AZ47" i="7"/>
  <c r="AW47" i="7"/>
  <c r="AU47" i="7"/>
  <c r="BF164" i="7"/>
  <c r="BG55" i="7"/>
  <c r="AE68" i="7"/>
  <c r="AI70" i="7"/>
  <c r="AJ68" i="7"/>
  <c r="AG68" i="7"/>
  <c r="AF68" i="7"/>
  <c r="AH71" i="7"/>
  <c r="AH70" i="7"/>
  <c r="BF167" i="7"/>
  <c r="AP105" i="7"/>
  <c r="BU35" i="7"/>
  <c r="BV35" i="7" s="1"/>
  <c r="BP35" i="7"/>
  <c r="BQ35" i="7"/>
  <c r="BA46" i="7"/>
  <c r="AC35" i="7"/>
  <c r="BF165" i="7"/>
  <c r="AX132" i="7"/>
  <c r="BF168" i="7"/>
  <c r="AX135" i="7"/>
  <c r="AX133" i="7"/>
  <c r="AX134" i="7"/>
  <c r="H103" i="7"/>
  <c r="CI103" i="7" s="1"/>
  <c r="G72" i="7"/>
  <c r="CA72" i="7" s="1"/>
  <c r="G73" i="7"/>
  <c r="CA73" i="7" s="1"/>
  <c r="J172" i="7"/>
  <c r="CY172" i="7" s="1"/>
  <c r="J169" i="7"/>
  <c r="CY169" i="7" s="1"/>
  <c r="H107" i="7"/>
  <c r="CI107" i="7" s="1"/>
  <c r="J173" i="7"/>
  <c r="CY173" i="7" s="1"/>
  <c r="H108" i="7"/>
  <c r="CI108" i="7" s="1"/>
  <c r="I139" i="7"/>
  <c r="CQ139" i="7" s="1"/>
  <c r="J170" i="7"/>
  <c r="CY170" i="7" s="1"/>
  <c r="I136" i="7"/>
  <c r="CQ136" i="7" s="1"/>
  <c r="I137" i="7"/>
  <c r="CQ137" i="7" s="1"/>
  <c r="I138" i="7"/>
  <c r="CQ138" i="7" s="1"/>
  <c r="J171" i="7"/>
  <c r="CY171" i="7" s="1"/>
  <c r="F37" i="7"/>
  <c r="L36" i="7"/>
  <c r="DB49" i="7" l="1"/>
  <c r="CT50" i="7"/>
  <c r="CD55" i="7"/>
  <c r="CD54" i="7"/>
  <c r="CR52" i="7"/>
  <c r="CR53" i="7" s="1"/>
  <c r="CS53" i="7" s="1"/>
  <c r="CO51" i="7"/>
  <c r="CS51" i="7"/>
  <c r="CT51" i="7" s="1"/>
  <c r="CL55" i="7"/>
  <c r="AS47" i="7"/>
  <c r="CN51" i="7"/>
  <c r="CB58" i="7"/>
  <c r="CB59" i="7" s="1"/>
  <c r="BY57" i="7"/>
  <c r="BX57" i="7"/>
  <c r="CC57" i="7"/>
  <c r="BZ57" i="7"/>
  <c r="AK69" i="7"/>
  <c r="BT38" i="7"/>
  <c r="BR37" i="7"/>
  <c r="AR49" i="7"/>
  <c r="AN49" i="7"/>
  <c r="AO49" i="7"/>
  <c r="AM49" i="7"/>
  <c r="AQ50" i="7"/>
  <c r="AQ51" i="7" s="1"/>
  <c r="CZ51" i="7"/>
  <c r="CT49" i="7"/>
  <c r="CW50" i="7"/>
  <c r="CX50" i="7"/>
  <c r="DA50" i="7"/>
  <c r="CV50" i="7"/>
  <c r="BX56" i="7"/>
  <c r="BY56" i="7"/>
  <c r="CC56" i="7"/>
  <c r="BZ56" i="7"/>
  <c r="AM48" i="7"/>
  <c r="AN48" i="7"/>
  <c r="AR48" i="7"/>
  <c r="AO48" i="7"/>
  <c r="DB48" i="7"/>
  <c r="CH57" i="7"/>
  <c r="CK57" i="7"/>
  <c r="CF57" i="7"/>
  <c r="CG57" i="7"/>
  <c r="CJ58" i="7"/>
  <c r="BA47" i="7"/>
  <c r="CK56" i="7"/>
  <c r="CF56" i="7"/>
  <c r="CH56" i="7"/>
  <c r="CG56" i="7"/>
  <c r="BI54" i="7"/>
  <c r="X37" i="7"/>
  <c r="AA38" i="7"/>
  <c r="W38" i="7" s="1"/>
  <c r="AB37" i="7"/>
  <c r="Y37" i="7"/>
  <c r="BC55" i="7"/>
  <c r="BH55" i="7"/>
  <c r="BE55" i="7"/>
  <c r="BD55" i="7"/>
  <c r="BG56" i="7"/>
  <c r="AZ49" i="7"/>
  <c r="AW49" i="7"/>
  <c r="AU49" i="7"/>
  <c r="AV49" i="7"/>
  <c r="BF170" i="7"/>
  <c r="AX139" i="7"/>
  <c r="AI73" i="7"/>
  <c r="AG71" i="7"/>
  <c r="AE71" i="7"/>
  <c r="AF71" i="7"/>
  <c r="AJ71" i="7"/>
  <c r="AX137" i="7"/>
  <c r="BF173" i="7"/>
  <c r="BU36" i="7"/>
  <c r="BV36" i="7" s="1"/>
  <c r="BP36" i="7"/>
  <c r="BQ36" i="7"/>
  <c r="AX136" i="7"/>
  <c r="AP107" i="7"/>
  <c r="BF172" i="7"/>
  <c r="AP108" i="7"/>
  <c r="BF169" i="7"/>
  <c r="BS37" i="7"/>
  <c r="Z37" i="7"/>
  <c r="AH73" i="7"/>
  <c r="BF171" i="7"/>
  <c r="AH72" i="7"/>
  <c r="AK68" i="7"/>
  <c r="AX138" i="7"/>
  <c r="AP103" i="7"/>
  <c r="AJ70" i="7"/>
  <c r="AI72" i="7"/>
  <c r="AE70" i="7"/>
  <c r="AF70" i="7"/>
  <c r="AG70" i="7"/>
  <c r="AU48" i="7"/>
  <c r="AZ48" i="7"/>
  <c r="AV48" i="7"/>
  <c r="AW48" i="7"/>
  <c r="AY50" i="7"/>
  <c r="AY51" i="7" s="1"/>
  <c r="AC36" i="7"/>
  <c r="G75" i="7"/>
  <c r="CA75" i="7" s="1"/>
  <c r="H106" i="7"/>
  <c r="CI106" i="7" s="1"/>
  <c r="G74" i="7"/>
  <c r="CA74" i="7" s="1"/>
  <c r="J176" i="7"/>
  <c r="CY176" i="7" s="1"/>
  <c r="J175" i="7"/>
  <c r="CY175" i="7" s="1"/>
  <c r="I143" i="7"/>
  <c r="CQ143" i="7" s="1"/>
  <c r="H110" i="7"/>
  <c r="CI110" i="7" s="1"/>
  <c r="I141" i="7"/>
  <c r="CQ141" i="7" s="1"/>
  <c r="I140" i="7"/>
  <c r="CQ140" i="7" s="1"/>
  <c r="J178" i="7"/>
  <c r="CY178" i="7" s="1"/>
  <c r="J174" i="7"/>
  <c r="CY174" i="7" s="1"/>
  <c r="J177" i="7"/>
  <c r="CY177" i="7" s="1"/>
  <c r="H111" i="7"/>
  <c r="CI111" i="7" s="1"/>
  <c r="I142" i="7"/>
  <c r="CQ142" i="7" s="1"/>
  <c r="F38" i="7"/>
  <c r="L37" i="7"/>
  <c r="CN52" i="7" l="1"/>
  <c r="CS52" i="7"/>
  <c r="AS49" i="7"/>
  <c r="CP52" i="7"/>
  <c r="CO52" i="7"/>
  <c r="CP53" i="7"/>
  <c r="CT53" i="7" s="1"/>
  <c r="CR54" i="7"/>
  <c r="CR55" i="7" s="1"/>
  <c r="CO55" i="7" s="1"/>
  <c r="CO53" i="7"/>
  <c r="CN53" i="7"/>
  <c r="CD56" i="7"/>
  <c r="CD57" i="7"/>
  <c r="DB50" i="7"/>
  <c r="CL57" i="7"/>
  <c r="AS48" i="7"/>
  <c r="CV51" i="7"/>
  <c r="CX51" i="7"/>
  <c r="CW51" i="7"/>
  <c r="DA51" i="7"/>
  <c r="CZ52" i="7"/>
  <c r="AM50" i="7"/>
  <c r="AR50" i="7"/>
  <c r="AN50" i="7"/>
  <c r="AO50" i="7"/>
  <c r="AM51" i="7"/>
  <c r="AR51" i="7"/>
  <c r="AO51" i="7"/>
  <c r="AN51" i="7"/>
  <c r="AQ52" i="7"/>
  <c r="BT39" i="7"/>
  <c r="BR38" i="7"/>
  <c r="BX59" i="7"/>
  <c r="BY59" i="7"/>
  <c r="CC59" i="7"/>
  <c r="BZ59" i="7"/>
  <c r="BX58" i="7"/>
  <c r="BY58" i="7"/>
  <c r="CB60" i="7"/>
  <c r="BZ58" i="7"/>
  <c r="CC58" i="7"/>
  <c r="CL56" i="7"/>
  <c r="BI55" i="7"/>
  <c r="CH58" i="7"/>
  <c r="CG58" i="7"/>
  <c r="CF58" i="7"/>
  <c r="CK58" i="7"/>
  <c r="CJ59" i="7"/>
  <c r="BA49" i="7"/>
  <c r="AK71" i="7"/>
  <c r="AK70" i="7"/>
  <c r="AV51" i="7"/>
  <c r="AW51" i="7"/>
  <c r="AU51" i="7"/>
  <c r="AZ51" i="7"/>
  <c r="BU37" i="7"/>
  <c r="BV37" i="7" s="1"/>
  <c r="BP37" i="7"/>
  <c r="BQ37" i="7"/>
  <c r="BS38" i="7"/>
  <c r="Z38" i="7"/>
  <c r="AH74" i="7"/>
  <c r="AP106" i="7"/>
  <c r="AX142" i="7"/>
  <c r="AP111" i="7"/>
  <c r="AH75" i="7"/>
  <c r="AB38" i="7"/>
  <c r="Y38" i="7"/>
  <c r="X38" i="7"/>
  <c r="AA39" i="7"/>
  <c r="W39" i="7" s="1"/>
  <c r="AJ72" i="7"/>
  <c r="AI74" i="7"/>
  <c r="AG72" i="7"/>
  <c r="AE72" i="7"/>
  <c r="AF72" i="7"/>
  <c r="AJ73" i="7"/>
  <c r="AF73" i="7"/>
  <c r="AI75" i="7"/>
  <c r="AG73" i="7"/>
  <c r="AE73" i="7"/>
  <c r="BC56" i="7"/>
  <c r="BE56" i="7"/>
  <c r="BD56" i="7"/>
  <c r="BH56" i="7"/>
  <c r="BF176" i="7"/>
  <c r="BF177" i="7"/>
  <c r="AC37" i="7"/>
  <c r="AU50" i="7"/>
  <c r="AZ50" i="7"/>
  <c r="AV50" i="7"/>
  <c r="AW50" i="7"/>
  <c r="BF178" i="7"/>
  <c r="AY52" i="7"/>
  <c r="BF175" i="7"/>
  <c r="BF174" i="7"/>
  <c r="AP110" i="7"/>
  <c r="BA48" i="7"/>
  <c r="AX140" i="7"/>
  <c r="AX141" i="7"/>
  <c r="AX143" i="7"/>
  <c r="BG57" i="7"/>
  <c r="BG58" i="7" s="1"/>
  <c r="H109" i="7"/>
  <c r="CI109" i="7" s="1"/>
  <c r="G77" i="7"/>
  <c r="CA77" i="7" s="1"/>
  <c r="G76" i="7"/>
  <c r="CA76" i="7" s="1"/>
  <c r="I146" i="7"/>
  <c r="CQ146" i="7" s="1"/>
  <c r="J182" i="7"/>
  <c r="CY182" i="7" s="1"/>
  <c r="H113" i="7"/>
  <c r="CI113" i="7" s="1"/>
  <c r="J179" i="7"/>
  <c r="CY179" i="7" s="1"/>
  <c r="I147" i="7"/>
  <c r="CQ147" i="7" s="1"/>
  <c r="J181" i="7"/>
  <c r="CY181" i="7" s="1"/>
  <c r="I145" i="7"/>
  <c r="CQ145" i="7" s="1"/>
  <c r="J180" i="7"/>
  <c r="CY180" i="7" s="1"/>
  <c r="H114" i="7"/>
  <c r="CI114" i="7" s="1"/>
  <c r="J183" i="7"/>
  <c r="CY183" i="7" s="1"/>
  <c r="I144" i="7"/>
  <c r="CQ144" i="7" s="1"/>
  <c r="F39" i="7"/>
  <c r="L38" i="7"/>
  <c r="CT52" i="7" l="1"/>
  <c r="CN55" i="7"/>
  <c r="CP55" i="7"/>
  <c r="CD58" i="7"/>
  <c r="CS55" i="7"/>
  <c r="CP54" i="7"/>
  <c r="CO54" i="7"/>
  <c r="CS54" i="7"/>
  <c r="CN54" i="7"/>
  <c r="CR56" i="7"/>
  <c r="CS56" i="7" s="1"/>
  <c r="CD59" i="7"/>
  <c r="CL58" i="7"/>
  <c r="DB51" i="7"/>
  <c r="BI56" i="7"/>
  <c r="AS50" i="7"/>
  <c r="AS51" i="7"/>
  <c r="BR39" i="7"/>
  <c r="BT40" i="7"/>
  <c r="CW52" i="7"/>
  <c r="CX52" i="7"/>
  <c r="DA52" i="7"/>
  <c r="CV52" i="7"/>
  <c r="CZ53" i="7"/>
  <c r="AO52" i="7"/>
  <c r="AN52" i="7"/>
  <c r="AM52" i="7"/>
  <c r="AR52" i="7"/>
  <c r="CB61" i="7"/>
  <c r="CB62" i="7" s="1"/>
  <c r="BX60" i="7"/>
  <c r="BY60" i="7"/>
  <c r="BZ60" i="7"/>
  <c r="CC60" i="7"/>
  <c r="AQ53" i="7"/>
  <c r="BA51" i="7"/>
  <c r="CH59" i="7"/>
  <c r="CF59" i="7"/>
  <c r="CK59" i="7"/>
  <c r="CG59" i="7"/>
  <c r="CJ60" i="7"/>
  <c r="BA50" i="7"/>
  <c r="AW52" i="7"/>
  <c r="AZ52" i="7"/>
  <c r="AU52" i="7"/>
  <c r="AV52" i="7"/>
  <c r="AK72" i="7"/>
  <c r="AP113" i="7"/>
  <c r="AB39" i="7"/>
  <c r="Y39" i="7"/>
  <c r="X39" i="7"/>
  <c r="AA40" i="7"/>
  <c r="W40" i="7" s="1"/>
  <c r="AI76" i="7"/>
  <c r="AG74" i="7"/>
  <c r="AF74" i="7"/>
  <c r="AJ74" i="7"/>
  <c r="AE74" i="7"/>
  <c r="BF182" i="7"/>
  <c r="AX146" i="7"/>
  <c r="BS39" i="7"/>
  <c r="Z39" i="7"/>
  <c r="AH76" i="7"/>
  <c r="BD58" i="7"/>
  <c r="BE58" i="7"/>
  <c r="BC58" i="7"/>
  <c r="BH58" i="7"/>
  <c r="AX144" i="7"/>
  <c r="AH77" i="7"/>
  <c r="BF183" i="7"/>
  <c r="AP109" i="7"/>
  <c r="AC38" i="7"/>
  <c r="AY53" i="7"/>
  <c r="AY54" i="7" s="1"/>
  <c r="AJ75" i="7"/>
  <c r="AG75" i="7"/>
  <c r="AI77" i="7"/>
  <c r="AF75" i="7"/>
  <c r="AE75" i="7"/>
  <c r="BF179" i="7"/>
  <c r="BF180" i="7"/>
  <c r="AK73" i="7"/>
  <c r="AP114" i="7"/>
  <c r="BF181" i="7"/>
  <c r="BU38" i="7"/>
  <c r="BV38" i="7" s="1"/>
  <c r="BQ38" i="7"/>
  <c r="BP38" i="7"/>
  <c r="BH57" i="7"/>
  <c r="BE57" i="7"/>
  <c r="BC57" i="7"/>
  <c r="BD57" i="7"/>
  <c r="BG59" i="7"/>
  <c r="AX145" i="7"/>
  <c r="AX147" i="7"/>
  <c r="G79" i="7"/>
  <c r="CA79" i="7" s="1"/>
  <c r="G78" i="7"/>
  <c r="CA78" i="7" s="1"/>
  <c r="H112" i="7"/>
  <c r="CI112" i="7" s="1"/>
  <c r="H116" i="7"/>
  <c r="CI116" i="7" s="1"/>
  <c r="J187" i="7"/>
  <c r="CY187" i="7" s="1"/>
  <c r="I150" i="7"/>
  <c r="CQ150" i="7" s="1"/>
  <c r="J188" i="7"/>
  <c r="CY188" i="7" s="1"/>
  <c r="J185" i="7"/>
  <c r="CY185" i="7" s="1"/>
  <c r="I149" i="7"/>
  <c r="CQ149" i="7" s="1"/>
  <c r="J186" i="7"/>
  <c r="CY186" i="7" s="1"/>
  <c r="I148" i="7"/>
  <c r="CQ148" i="7" s="1"/>
  <c r="J184" i="7"/>
  <c r="CY184" i="7" s="1"/>
  <c r="H117" i="7"/>
  <c r="CI117" i="7" s="1"/>
  <c r="I151" i="7"/>
  <c r="CQ151" i="7" s="1"/>
  <c r="F40" i="7"/>
  <c r="L39" i="7"/>
  <c r="CT55" i="7" l="1"/>
  <c r="CT54" i="7"/>
  <c r="CO56" i="7"/>
  <c r="CN56" i="7"/>
  <c r="CP56" i="7"/>
  <c r="CT56" i="7" s="1"/>
  <c r="CR57" i="7"/>
  <c r="CR58" i="7" s="1"/>
  <c r="CS58" i="7" s="1"/>
  <c r="DB52" i="7"/>
  <c r="CD60" i="7"/>
  <c r="CL59" i="7"/>
  <c r="CW53" i="7"/>
  <c r="CV53" i="7"/>
  <c r="CX53" i="7"/>
  <c r="DA53" i="7"/>
  <c r="CB63" i="7"/>
  <c r="CB64" i="7" s="1"/>
  <c r="BY62" i="7"/>
  <c r="BX62" i="7"/>
  <c r="CC62" i="7"/>
  <c r="BZ62" i="7"/>
  <c r="AR53" i="7"/>
  <c r="AO53" i="7"/>
  <c r="AN53" i="7"/>
  <c r="AM53" i="7"/>
  <c r="BY61" i="7"/>
  <c r="BX61" i="7"/>
  <c r="BZ61" i="7"/>
  <c r="CC61" i="7"/>
  <c r="AQ54" i="7"/>
  <c r="BT41" i="7"/>
  <c r="BR40" i="7"/>
  <c r="BI57" i="7"/>
  <c r="AS52" i="7"/>
  <c r="CZ54" i="7"/>
  <c r="BA52" i="7"/>
  <c r="CG60" i="7"/>
  <c r="CH60" i="7"/>
  <c r="CK60" i="7"/>
  <c r="CF60" i="7"/>
  <c r="CJ61" i="7"/>
  <c r="AK74" i="7"/>
  <c r="AK75" i="7"/>
  <c r="AY55" i="7"/>
  <c r="AY56" i="7" s="1"/>
  <c r="AW54" i="7"/>
  <c r="AZ54" i="7"/>
  <c r="AU54" i="7"/>
  <c r="AV54" i="7"/>
  <c r="AV53" i="7"/>
  <c r="AZ53" i="7"/>
  <c r="AW53" i="7"/>
  <c r="AU53" i="7"/>
  <c r="BI58" i="7"/>
  <c r="AH78" i="7"/>
  <c r="AP117" i="7"/>
  <c r="BF186" i="7"/>
  <c r="AP112" i="7"/>
  <c r="AX149" i="7"/>
  <c r="BS40" i="7"/>
  <c r="Z40" i="7"/>
  <c r="AX151" i="7"/>
  <c r="BU39" i="7"/>
  <c r="BV39" i="7" s="1"/>
  <c r="BQ39" i="7"/>
  <c r="BP39" i="7"/>
  <c r="AI78" i="7"/>
  <c r="AJ76" i="7"/>
  <c r="AG76" i="7"/>
  <c r="AF76" i="7"/>
  <c r="AE76" i="7"/>
  <c r="AH79" i="7"/>
  <c r="BF188" i="7"/>
  <c r="Y40" i="7"/>
  <c r="X40" i="7"/>
  <c r="AA41" i="7"/>
  <c r="W41" i="7" s="1"/>
  <c r="AB40" i="7"/>
  <c r="BH59" i="7"/>
  <c r="BD59" i="7"/>
  <c r="BE59" i="7"/>
  <c r="BC59" i="7"/>
  <c r="BG60" i="7"/>
  <c r="BG61" i="7" s="1"/>
  <c r="BF184" i="7"/>
  <c r="AX148" i="7"/>
  <c r="AX150" i="7"/>
  <c r="BF185" i="7"/>
  <c r="BF187" i="7"/>
  <c r="AP116" i="7"/>
  <c r="AI79" i="7"/>
  <c r="AE77" i="7"/>
  <c r="AJ77" i="7"/>
  <c r="AG77" i="7"/>
  <c r="AF77" i="7"/>
  <c r="AC39" i="7"/>
  <c r="G81" i="7"/>
  <c r="CA81" i="7" s="1"/>
  <c r="H115" i="7"/>
  <c r="CI115" i="7" s="1"/>
  <c r="G80" i="7"/>
  <c r="CA80" i="7" s="1"/>
  <c r="J191" i="7"/>
  <c r="CY191" i="7" s="1"/>
  <c r="J192" i="7"/>
  <c r="CY192" i="7" s="1"/>
  <c r="I155" i="7"/>
  <c r="CQ155" i="7" s="1"/>
  <c r="H120" i="7"/>
  <c r="CI120" i="7" s="1"/>
  <c r="J189" i="7"/>
  <c r="CY189" i="7" s="1"/>
  <c r="I152" i="7"/>
  <c r="CQ152" i="7" s="1"/>
  <c r="J190" i="7"/>
  <c r="CY190" i="7" s="1"/>
  <c r="I153" i="7"/>
  <c r="CQ153" i="7" s="1"/>
  <c r="J193" i="7"/>
  <c r="CY193" i="7" s="1"/>
  <c r="I154" i="7"/>
  <c r="CQ154" i="7" s="1"/>
  <c r="H119" i="7"/>
  <c r="CI119" i="7" s="1"/>
  <c r="F41" i="7"/>
  <c r="L40" i="7"/>
  <c r="CP57" i="7" l="1"/>
  <c r="CN58" i="7"/>
  <c r="CO57" i="7"/>
  <c r="CN57" i="7"/>
  <c r="CO58" i="7"/>
  <c r="CP58" i="7"/>
  <c r="CT58" i="7" s="1"/>
  <c r="CR59" i="7"/>
  <c r="CO59" i="7" s="1"/>
  <c r="CS57" i="7"/>
  <c r="DB53" i="7"/>
  <c r="AS53" i="7"/>
  <c r="CD61" i="7"/>
  <c r="CD62" i="7"/>
  <c r="AR54" i="7"/>
  <c r="AO54" i="7"/>
  <c r="AN54" i="7"/>
  <c r="AM54" i="7"/>
  <c r="CW54" i="7"/>
  <c r="CV54" i="7"/>
  <c r="CX54" i="7"/>
  <c r="DA54" i="7"/>
  <c r="BY63" i="7"/>
  <c r="BX63" i="7"/>
  <c r="BZ63" i="7"/>
  <c r="CC63" i="7"/>
  <c r="CB65" i="7"/>
  <c r="BZ65" i="7" s="1"/>
  <c r="BY64" i="7"/>
  <c r="BX64" i="7"/>
  <c r="BZ64" i="7"/>
  <c r="CC64" i="7"/>
  <c r="CL60" i="7"/>
  <c r="CZ55" i="7"/>
  <c r="CZ56" i="7" s="1"/>
  <c r="BR41" i="7"/>
  <c r="BT42" i="7"/>
  <c r="AQ55" i="7"/>
  <c r="AQ56" i="7" s="1"/>
  <c r="CK61" i="7"/>
  <c r="CF61" i="7"/>
  <c r="CH61" i="7"/>
  <c r="CG61" i="7"/>
  <c r="CJ62" i="7"/>
  <c r="BI59" i="7"/>
  <c r="AY57" i="7"/>
  <c r="AY58" i="7" s="1"/>
  <c r="AY59" i="7" s="1"/>
  <c r="AY60" i="7" s="1"/>
  <c r="BA54" i="7"/>
  <c r="BA53" i="7"/>
  <c r="AK77" i="7"/>
  <c r="AC40" i="7"/>
  <c r="AK76" i="7"/>
  <c r="BG62" i="7"/>
  <c r="BG63" i="7" s="1"/>
  <c r="BG64" i="7" s="1"/>
  <c r="BC61" i="7"/>
  <c r="BH61" i="7"/>
  <c r="BE61" i="7"/>
  <c r="BD61" i="7"/>
  <c r="AB41" i="7"/>
  <c r="Y41" i="7"/>
  <c r="X41" i="7"/>
  <c r="AA42" i="7"/>
  <c r="W42" i="7" s="1"/>
  <c r="Z41" i="7"/>
  <c r="BS41" i="7"/>
  <c r="AP119" i="7"/>
  <c r="AP115" i="7"/>
  <c r="AX154" i="7"/>
  <c r="AH81" i="7"/>
  <c r="BF193" i="7"/>
  <c r="AI80" i="7"/>
  <c r="AF78" i="7"/>
  <c r="AE78" i="7"/>
  <c r="AJ78" i="7"/>
  <c r="AG78" i="7"/>
  <c r="AX153" i="7"/>
  <c r="BF190" i="7"/>
  <c r="AH80" i="7"/>
  <c r="BC60" i="7"/>
  <c r="BH60" i="7"/>
  <c r="BE60" i="7"/>
  <c r="BD60" i="7"/>
  <c r="BU40" i="7"/>
  <c r="BV40" i="7" s="1"/>
  <c r="BQ40" i="7"/>
  <c r="BP40" i="7"/>
  <c r="AX152" i="7"/>
  <c r="AV56" i="7"/>
  <c r="AW56" i="7"/>
  <c r="AZ56" i="7"/>
  <c r="AU56" i="7"/>
  <c r="BF189" i="7"/>
  <c r="AG79" i="7"/>
  <c r="AE79" i="7"/>
  <c r="AI81" i="7"/>
  <c r="AF79" i="7"/>
  <c r="AJ79" i="7"/>
  <c r="AX155" i="7"/>
  <c r="BF191" i="7"/>
  <c r="AP120" i="7"/>
  <c r="BF192" i="7"/>
  <c r="AV55" i="7"/>
  <c r="AZ55" i="7"/>
  <c r="AU55" i="7"/>
  <c r="AW55" i="7"/>
  <c r="H118" i="7"/>
  <c r="CI118" i="7" s="1"/>
  <c r="G83" i="7"/>
  <c r="CA83" i="7" s="1"/>
  <c r="G82" i="7"/>
  <c r="CA82" i="7" s="1"/>
  <c r="I158" i="7"/>
  <c r="CQ158" i="7" s="1"/>
  <c r="I157" i="7"/>
  <c r="CQ157" i="7" s="1"/>
  <c r="H122" i="7"/>
  <c r="CI122" i="7" s="1"/>
  <c r="I156" i="7"/>
  <c r="CQ156" i="7" s="1"/>
  <c r="H123" i="7"/>
  <c r="CI123" i="7" s="1"/>
  <c r="J197" i="7"/>
  <c r="CY197" i="7" s="1"/>
  <c r="J194" i="7"/>
  <c r="CY194" i="7" s="1"/>
  <c r="J198" i="7"/>
  <c r="CY198" i="7" s="1"/>
  <c r="J195" i="7"/>
  <c r="CY195" i="7" s="1"/>
  <c r="I159" i="7"/>
  <c r="CQ159" i="7" s="1"/>
  <c r="J196" i="7"/>
  <c r="CY196" i="7" s="1"/>
  <c r="F42" i="7"/>
  <c r="L41" i="7"/>
  <c r="CT57" i="7" l="1"/>
  <c r="DB54" i="7"/>
  <c r="CR60" i="7"/>
  <c r="CP60" i="7" s="1"/>
  <c r="AS54" i="7"/>
  <c r="CS59" i="7"/>
  <c r="CN59" i="7"/>
  <c r="CP59" i="7"/>
  <c r="CD63" i="7"/>
  <c r="CB66" i="7"/>
  <c r="BX66" i="7" s="1"/>
  <c r="CD64" i="7"/>
  <c r="AN56" i="7"/>
  <c r="AM56" i="7"/>
  <c r="AR56" i="7"/>
  <c r="AO56" i="7"/>
  <c r="BT43" i="7"/>
  <c r="BR42" i="7"/>
  <c r="CZ57" i="7"/>
  <c r="CZ58" i="7" s="1"/>
  <c r="CV56" i="7"/>
  <c r="CW56" i="7"/>
  <c r="DA56" i="7"/>
  <c r="CX56" i="7"/>
  <c r="CW55" i="7"/>
  <c r="DA55" i="7"/>
  <c r="CX55" i="7"/>
  <c r="CV55" i="7"/>
  <c r="BX65" i="7"/>
  <c r="BY65" i="7"/>
  <c r="AQ57" i="7"/>
  <c r="AQ58" i="7" s="1"/>
  <c r="CC65" i="7"/>
  <c r="CD65" i="7" s="1"/>
  <c r="CL61" i="7"/>
  <c r="AM55" i="7"/>
  <c r="AN55" i="7"/>
  <c r="AR55" i="7"/>
  <c r="AO55" i="7"/>
  <c r="CG62" i="7"/>
  <c r="CF62" i="7"/>
  <c r="CH62" i="7"/>
  <c r="CK62" i="7"/>
  <c r="CJ63" i="7"/>
  <c r="CJ64" i="7" s="1"/>
  <c r="BI61" i="7"/>
  <c r="AV57" i="7"/>
  <c r="AZ57" i="7"/>
  <c r="AW57" i="7"/>
  <c r="AK78" i="7"/>
  <c r="AU57" i="7"/>
  <c r="AK79" i="7"/>
  <c r="BI60" i="7"/>
  <c r="AC41" i="7"/>
  <c r="BA56" i="7"/>
  <c r="AW60" i="7"/>
  <c r="AV60" i="7"/>
  <c r="AU60" i="7"/>
  <c r="AZ60" i="7"/>
  <c r="BF197" i="7"/>
  <c r="AG80" i="7"/>
  <c r="AJ80" i="7"/>
  <c r="AI82" i="7"/>
  <c r="AF80" i="7"/>
  <c r="AE80" i="7"/>
  <c r="BH62" i="7"/>
  <c r="BD62" i="7"/>
  <c r="BC62" i="7"/>
  <c r="BE62" i="7"/>
  <c r="AI83" i="7"/>
  <c r="AE81" i="7"/>
  <c r="AG81" i="7"/>
  <c r="AF81" i="7"/>
  <c r="AJ81" i="7"/>
  <c r="X42" i="7"/>
  <c r="AB42" i="7"/>
  <c r="Y42" i="7"/>
  <c r="AA43" i="7"/>
  <c r="W43" i="7" s="1"/>
  <c r="AY61" i="7"/>
  <c r="AY62" i="7" s="1"/>
  <c r="AP123" i="7"/>
  <c r="BE63" i="7"/>
  <c r="BD63" i="7"/>
  <c r="BC63" i="7"/>
  <c r="BH63" i="7"/>
  <c r="AX158" i="7"/>
  <c r="BE64" i="7"/>
  <c r="BD64" i="7"/>
  <c r="BC64" i="7"/>
  <c r="BH64" i="7"/>
  <c r="BS42" i="7"/>
  <c r="Z42" i="7"/>
  <c r="AH82" i="7"/>
  <c r="BF196" i="7"/>
  <c r="AH83" i="7"/>
  <c r="AX159" i="7"/>
  <c r="AP118" i="7"/>
  <c r="AU59" i="7"/>
  <c r="AZ59" i="7"/>
  <c r="AW59" i="7"/>
  <c r="AV59" i="7"/>
  <c r="BG65" i="7"/>
  <c r="BG66" i="7" s="1"/>
  <c r="AW58" i="7"/>
  <c r="AV58" i="7"/>
  <c r="AZ58" i="7"/>
  <c r="AU58" i="7"/>
  <c r="AP122" i="7"/>
  <c r="AX157" i="7"/>
  <c r="BF195" i="7"/>
  <c r="BA55" i="7"/>
  <c r="AX156" i="7"/>
  <c r="BU41" i="7"/>
  <c r="BV41" i="7" s="1"/>
  <c r="BQ41" i="7"/>
  <c r="BP41" i="7"/>
  <c r="BF198" i="7"/>
  <c r="BF194" i="7"/>
  <c r="G84" i="7"/>
  <c r="CA84" i="7" s="1"/>
  <c r="H121" i="7"/>
  <c r="CI121" i="7" s="1"/>
  <c r="G85" i="7"/>
  <c r="CA85" i="7" s="1"/>
  <c r="H126" i="7"/>
  <c r="CI126" i="7" s="1"/>
  <c r="J201" i="7"/>
  <c r="CY201" i="7" s="1"/>
  <c r="I163" i="7"/>
  <c r="CQ163" i="7" s="1"/>
  <c r="J203" i="7"/>
  <c r="CY203" i="7" s="1"/>
  <c r="I160" i="7"/>
  <c r="CQ160" i="7" s="1"/>
  <c r="J200" i="7"/>
  <c r="CY200" i="7" s="1"/>
  <c r="J199" i="7"/>
  <c r="CY199" i="7" s="1"/>
  <c r="H125" i="7"/>
  <c r="CI125" i="7" s="1"/>
  <c r="J202" i="7"/>
  <c r="CY202" i="7" s="1"/>
  <c r="I161" i="7"/>
  <c r="CQ161" i="7" s="1"/>
  <c r="I162" i="7"/>
  <c r="CQ162" i="7" s="1"/>
  <c r="F43" i="7"/>
  <c r="L42" i="7"/>
  <c r="CR61" i="7" l="1"/>
  <c r="CN61" i="7" s="1"/>
  <c r="CO60" i="7"/>
  <c r="CN60" i="7"/>
  <c r="CS60" i="7"/>
  <c r="CT60" i="7" s="1"/>
  <c r="CT59" i="7"/>
  <c r="BZ66" i="7"/>
  <c r="CB67" i="7"/>
  <c r="BZ67" i="7" s="1"/>
  <c r="BY66" i="7"/>
  <c r="DB56" i="7"/>
  <c r="AS56" i="7"/>
  <c r="AS55" i="7"/>
  <c r="BA57" i="7"/>
  <c r="CC66" i="7"/>
  <c r="CL62" i="7"/>
  <c r="CZ59" i="7"/>
  <c r="CV59" i="7" s="1"/>
  <c r="AN58" i="7"/>
  <c r="AQ59" i="7"/>
  <c r="AR59" i="7" s="1"/>
  <c r="AR58" i="7"/>
  <c r="AO58" i="7"/>
  <c r="AM58" i="7"/>
  <c r="BT44" i="7"/>
  <c r="BR43" i="7"/>
  <c r="CV58" i="7"/>
  <c r="DA58" i="7"/>
  <c r="CX58" i="7"/>
  <c r="CW58" i="7"/>
  <c r="AM57" i="7"/>
  <c r="AO57" i="7"/>
  <c r="AR57" i="7"/>
  <c r="AN57" i="7"/>
  <c r="DA57" i="7"/>
  <c r="CX57" i="7"/>
  <c r="CW57" i="7"/>
  <c r="CV57" i="7"/>
  <c r="DB55" i="7"/>
  <c r="BI64" i="7"/>
  <c r="CK64" i="7"/>
  <c r="CH64" i="7"/>
  <c r="CF64" i="7"/>
  <c r="CG64" i="7"/>
  <c r="AY63" i="7"/>
  <c r="AV63" i="7" s="1"/>
  <c r="CH63" i="7"/>
  <c r="CK63" i="7"/>
  <c r="CF63" i="7"/>
  <c r="CG63" i="7"/>
  <c r="CJ65" i="7"/>
  <c r="CJ66" i="7" s="1"/>
  <c r="AK80" i="7"/>
  <c r="BI63" i="7"/>
  <c r="BA59" i="7"/>
  <c r="AC42" i="7"/>
  <c r="BA58" i="7"/>
  <c r="BC66" i="7"/>
  <c r="BH66" i="7"/>
  <c r="BE66" i="7"/>
  <c r="BD66" i="7"/>
  <c r="AK81" i="7"/>
  <c r="AJ82" i="7"/>
  <c r="AE82" i="7"/>
  <c r="AI84" i="7"/>
  <c r="AG82" i="7"/>
  <c r="AF82" i="7"/>
  <c r="BF202" i="7"/>
  <c r="BF200" i="7"/>
  <c r="AX160" i="7"/>
  <c r="BU42" i="7"/>
  <c r="BV42" i="7" s="1"/>
  <c r="BQ42" i="7"/>
  <c r="BP42" i="7"/>
  <c r="AW62" i="7"/>
  <c r="AV62" i="7"/>
  <c r="AZ62" i="7"/>
  <c r="AU62" i="7"/>
  <c r="AJ83" i="7"/>
  <c r="AF83" i="7"/>
  <c r="AI85" i="7"/>
  <c r="AG83" i="7"/>
  <c r="AE83" i="7"/>
  <c r="BG67" i="7"/>
  <c r="AP125" i="7"/>
  <c r="AP126" i="7"/>
  <c r="AH84" i="7"/>
  <c r="BF199" i="7"/>
  <c r="BF203" i="7"/>
  <c r="BF201" i="7"/>
  <c r="BS43" i="7"/>
  <c r="Z43" i="7"/>
  <c r="AH85" i="7"/>
  <c r="AA44" i="7"/>
  <c r="W44" i="7" s="1"/>
  <c r="AB43" i="7"/>
  <c r="X43" i="7"/>
  <c r="Y43" i="7"/>
  <c r="AX163" i="7"/>
  <c r="AX162" i="7"/>
  <c r="AX161" i="7"/>
  <c r="AP121" i="7"/>
  <c r="BH65" i="7"/>
  <c r="BE65" i="7"/>
  <c r="BD65" i="7"/>
  <c r="BC65" i="7"/>
  <c r="AW61" i="7"/>
  <c r="AV61" i="7"/>
  <c r="AU61" i="7"/>
  <c r="AZ61" i="7"/>
  <c r="BI62" i="7"/>
  <c r="BA60" i="7"/>
  <c r="G86" i="7"/>
  <c r="CA86" i="7" s="1"/>
  <c r="H124" i="7"/>
  <c r="CI124" i="7" s="1"/>
  <c r="G87" i="7"/>
  <c r="CA87" i="7" s="1"/>
  <c r="H128" i="7"/>
  <c r="CI128" i="7" s="1"/>
  <c r="J205" i="7"/>
  <c r="CY205" i="7" s="1"/>
  <c r="I167" i="7"/>
  <c r="CQ167" i="7" s="1"/>
  <c r="I165" i="7"/>
  <c r="CQ165" i="7" s="1"/>
  <c r="J207" i="7"/>
  <c r="CY207" i="7" s="1"/>
  <c r="I164" i="7"/>
  <c r="CQ164" i="7" s="1"/>
  <c r="I166" i="7"/>
  <c r="CQ166" i="7" s="1"/>
  <c r="J204" i="7"/>
  <c r="CY204" i="7" s="1"/>
  <c r="J208" i="7"/>
  <c r="CY208" i="7" s="1"/>
  <c r="J206" i="7"/>
  <c r="CY206" i="7" s="1"/>
  <c r="H129" i="7"/>
  <c r="CI129" i="7" s="1"/>
  <c r="F44" i="7"/>
  <c r="L43" i="7"/>
  <c r="CR62" i="7" l="1"/>
  <c r="CP62" i="7" s="1"/>
  <c r="CS61" i="7"/>
  <c r="CO61" i="7"/>
  <c r="CP61" i="7"/>
  <c r="BY67" i="7"/>
  <c r="CB68" i="7"/>
  <c r="CB69" i="7" s="1"/>
  <c r="CB70" i="7" s="1"/>
  <c r="CD66" i="7"/>
  <c r="BX67" i="7"/>
  <c r="CC67" i="7"/>
  <c r="CD67" i="7" s="1"/>
  <c r="AS58" i="7"/>
  <c r="DB57" i="7"/>
  <c r="CZ60" i="7"/>
  <c r="CX60" i="7" s="1"/>
  <c r="CW59" i="7"/>
  <c r="DA59" i="7"/>
  <c r="AQ60" i="7"/>
  <c r="AO60" i="7" s="1"/>
  <c r="DB58" i="7"/>
  <c r="AM59" i="7"/>
  <c r="CX59" i="7"/>
  <c r="AO59" i="7"/>
  <c r="AS59" i="7" s="1"/>
  <c r="AN59" i="7"/>
  <c r="AS57" i="7"/>
  <c r="BT45" i="7"/>
  <c r="BR44" i="7"/>
  <c r="CL63" i="7"/>
  <c r="CL64" i="7"/>
  <c r="BA62" i="7"/>
  <c r="AZ63" i="7"/>
  <c r="AW63" i="7"/>
  <c r="AY64" i="7"/>
  <c r="AY65" i="7" s="1"/>
  <c r="AW65" i="7" s="1"/>
  <c r="AU63" i="7"/>
  <c r="CJ67" i="7"/>
  <c r="CK67" i="7" s="1"/>
  <c r="CF66" i="7"/>
  <c r="CK66" i="7"/>
  <c r="CH66" i="7"/>
  <c r="CG66" i="7"/>
  <c r="CF65" i="7"/>
  <c r="CG65" i="7"/>
  <c r="CH65" i="7"/>
  <c r="CK65" i="7"/>
  <c r="AK83" i="7"/>
  <c r="BI66" i="7"/>
  <c r="BA61" i="7"/>
  <c r="AK82" i="7"/>
  <c r="AC43" i="7"/>
  <c r="AX167" i="7"/>
  <c r="Y44" i="7"/>
  <c r="AA45" i="7"/>
  <c r="W45" i="7" s="1"/>
  <c r="X44" i="7"/>
  <c r="AB44" i="7"/>
  <c r="AJ85" i="7"/>
  <c r="AF85" i="7"/>
  <c r="AI87" i="7"/>
  <c r="AG85" i="7"/>
  <c r="AE85" i="7"/>
  <c r="AP129" i="7"/>
  <c r="BU43" i="7"/>
  <c r="BV43" i="7" s="1"/>
  <c r="BQ43" i="7"/>
  <c r="BP43" i="7"/>
  <c r="AI86" i="7"/>
  <c r="AE84" i="7"/>
  <c r="AG84" i="7"/>
  <c r="AF84" i="7"/>
  <c r="AJ84" i="7"/>
  <c r="BS44" i="7"/>
  <c r="Z44" i="7"/>
  <c r="AP128" i="7"/>
  <c r="AH87" i="7"/>
  <c r="AP124" i="7"/>
  <c r="BG68" i="7"/>
  <c r="AX164" i="7"/>
  <c r="BF205" i="7"/>
  <c r="BF206" i="7"/>
  <c r="AH86" i="7"/>
  <c r="BF207" i="7"/>
  <c r="BI65" i="7"/>
  <c r="BF208" i="7"/>
  <c r="BF204" i="7"/>
  <c r="AX166" i="7"/>
  <c r="AX165" i="7"/>
  <c r="BC67" i="7"/>
  <c r="BH67" i="7"/>
  <c r="BE67" i="7"/>
  <c r="BD67" i="7"/>
  <c r="G89" i="7"/>
  <c r="CA89" i="7" s="1"/>
  <c r="H127" i="7"/>
  <c r="CI127" i="7" s="1"/>
  <c r="G88" i="7"/>
  <c r="CA88" i="7" s="1"/>
  <c r="H132" i="7"/>
  <c r="CI132" i="7" s="1"/>
  <c r="I169" i="7"/>
  <c r="CQ169" i="7" s="1"/>
  <c r="I171" i="7"/>
  <c r="CQ171" i="7" s="1"/>
  <c r="H131" i="7"/>
  <c r="CI131" i="7" s="1"/>
  <c r="I170" i="7"/>
  <c r="CQ170" i="7" s="1"/>
  <c r="J213" i="7"/>
  <c r="CY213" i="7" s="1"/>
  <c r="I168" i="7"/>
  <c r="CQ168" i="7" s="1"/>
  <c r="J211" i="7"/>
  <c r="CY211" i="7" s="1"/>
  <c r="J209" i="7"/>
  <c r="CY209" i="7" s="1"/>
  <c r="J212" i="7"/>
  <c r="CY212" i="7" s="1"/>
  <c r="J210" i="7"/>
  <c r="CY210" i="7" s="1"/>
  <c r="F45" i="7"/>
  <c r="L44" i="7"/>
  <c r="CR63" i="7" l="1"/>
  <c r="CR64" i="7" s="1"/>
  <c r="CS64" i="7" s="1"/>
  <c r="CO62" i="7"/>
  <c r="CN62" i="7"/>
  <c r="CT61" i="7"/>
  <c r="CS62" i="7"/>
  <c r="CT62" i="7" s="1"/>
  <c r="CZ61" i="7"/>
  <c r="CX61" i="7" s="1"/>
  <c r="BX68" i="7"/>
  <c r="BZ68" i="7"/>
  <c r="BY68" i="7"/>
  <c r="CC68" i="7"/>
  <c r="AR60" i="7"/>
  <c r="AS60" i="7" s="1"/>
  <c r="CW60" i="7"/>
  <c r="CV60" i="7"/>
  <c r="DA60" i="7"/>
  <c r="DB60" i="7" s="1"/>
  <c r="DB59" i="7"/>
  <c r="BA63" i="7"/>
  <c r="AQ61" i="7"/>
  <c r="AQ62" i="7" s="1"/>
  <c r="AM60" i="7"/>
  <c r="AN60" i="7"/>
  <c r="AZ64" i="7"/>
  <c r="CL65" i="7"/>
  <c r="BY70" i="7"/>
  <c r="BX70" i="7"/>
  <c r="BR45" i="7"/>
  <c r="BT46" i="7"/>
  <c r="BX69" i="7"/>
  <c r="BY69" i="7"/>
  <c r="CB71" i="7"/>
  <c r="AU64" i="7"/>
  <c r="AV64" i="7"/>
  <c r="AW64" i="7"/>
  <c r="AY66" i="7"/>
  <c r="AU66" i="7" s="1"/>
  <c r="AU65" i="7"/>
  <c r="CL66" i="7"/>
  <c r="AV65" i="7"/>
  <c r="AK84" i="7"/>
  <c r="AZ65" i="7"/>
  <c r="BA65" i="7" s="1"/>
  <c r="CJ68" i="7"/>
  <c r="CJ69" i="7" s="1"/>
  <c r="CJ70" i="7" s="1"/>
  <c r="CF67" i="7"/>
  <c r="CG67" i="7"/>
  <c r="CH67" i="7"/>
  <c r="CL67" i="7" s="1"/>
  <c r="BI67" i="7"/>
  <c r="BZ69" i="7"/>
  <c r="CC69" i="7"/>
  <c r="AK85" i="7"/>
  <c r="AC44" i="7"/>
  <c r="BE68" i="7"/>
  <c r="BD68" i="7"/>
  <c r="BC68" i="7"/>
  <c r="BH68" i="7"/>
  <c r="BG69" i="7"/>
  <c r="Y45" i="7"/>
  <c r="AA46" i="7"/>
  <c r="W46" i="7" s="1"/>
  <c r="AB45" i="7"/>
  <c r="X45" i="7"/>
  <c r="AH88" i="7"/>
  <c r="BF212" i="7"/>
  <c r="AG86" i="7"/>
  <c r="AI88" i="7"/>
  <c r="AJ86" i="7"/>
  <c r="AF86" i="7"/>
  <c r="AE86" i="7"/>
  <c r="BF213" i="7"/>
  <c r="BU44" i="7"/>
  <c r="BV44" i="7" s="1"/>
  <c r="BQ44" i="7"/>
  <c r="BP44" i="7"/>
  <c r="AH89" i="7"/>
  <c r="AX168" i="7"/>
  <c r="AX170" i="7"/>
  <c r="BF210" i="7"/>
  <c r="AP127" i="7"/>
  <c r="BF209" i="7"/>
  <c r="BF211" i="7"/>
  <c r="AE87" i="7"/>
  <c r="AG87" i="7"/>
  <c r="AJ87" i="7"/>
  <c r="AF87" i="7"/>
  <c r="AI89" i="7"/>
  <c r="BS45" i="7"/>
  <c r="Z45" i="7"/>
  <c r="AX169" i="7"/>
  <c r="AP131" i="7"/>
  <c r="AX171" i="7"/>
  <c r="AP132" i="7"/>
  <c r="G90" i="7"/>
  <c r="CA90" i="7" s="1"/>
  <c r="H130" i="7"/>
  <c r="CI130" i="7" s="1"/>
  <c r="G91" i="7"/>
  <c r="CA91" i="7" s="1"/>
  <c r="J218" i="7"/>
  <c r="CY218" i="7" s="1"/>
  <c r="J215" i="7"/>
  <c r="CY215" i="7" s="1"/>
  <c r="J214" i="7"/>
  <c r="CY214" i="7" s="1"/>
  <c r="I172" i="7"/>
  <c r="CQ172" i="7" s="1"/>
  <c r="J217" i="7"/>
  <c r="CY217" i="7" s="1"/>
  <c r="J216" i="7"/>
  <c r="CY216" i="7" s="1"/>
  <c r="I174" i="7"/>
  <c r="CQ174" i="7" s="1"/>
  <c r="I175" i="7"/>
  <c r="CQ175" i="7" s="1"/>
  <c r="H134" i="7"/>
  <c r="CI134" i="7" s="1"/>
  <c r="I173" i="7"/>
  <c r="CQ173" i="7" s="1"/>
  <c r="H135" i="7"/>
  <c r="CI135" i="7" s="1"/>
  <c r="F46" i="7"/>
  <c r="L45" i="7"/>
  <c r="CS63" i="7" l="1"/>
  <c r="CO63" i="7"/>
  <c r="CP63" i="7"/>
  <c r="CO64" i="7"/>
  <c r="CP64" i="7"/>
  <c r="CN64" i="7"/>
  <c r="CR65" i="7"/>
  <c r="CP65" i="7" s="1"/>
  <c r="CN63" i="7"/>
  <c r="CD68" i="7"/>
  <c r="CV61" i="7"/>
  <c r="DA61" i="7"/>
  <c r="DB61" i="7" s="1"/>
  <c r="CW61" i="7"/>
  <c r="CZ62" i="7"/>
  <c r="CX62" i="7" s="1"/>
  <c r="AR61" i="7"/>
  <c r="BA64" i="7"/>
  <c r="AO61" i="7"/>
  <c r="AN61" i="7"/>
  <c r="AM61" i="7"/>
  <c r="AW66" i="7"/>
  <c r="AZ66" i="7"/>
  <c r="AY67" i="7"/>
  <c r="AZ67" i="7" s="1"/>
  <c r="BY71" i="7"/>
  <c r="BX71" i="7"/>
  <c r="BT47" i="7"/>
  <c r="BR46" i="7"/>
  <c r="CB72" i="7"/>
  <c r="CT64" i="7"/>
  <c r="AV66" i="7"/>
  <c r="CK68" i="7"/>
  <c r="CF68" i="7"/>
  <c r="CG68" i="7"/>
  <c r="CH68" i="7"/>
  <c r="CF69" i="7"/>
  <c r="CG69" i="7"/>
  <c r="CK69" i="7"/>
  <c r="CH69" i="7"/>
  <c r="CD69" i="7"/>
  <c r="CK70" i="7"/>
  <c r="CF70" i="7"/>
  <c r="CG70" i="7"/>
  <c r="CH70" i="7"/>
  <c r="BI68" i="7"/>
  <c r="CJ71" i="7"/>
  <c r="AR62" i="7"/>
  <c r="AO62" i="7"/>
  <c r="AN62" i="7"/>
  <c r="AM62" i="7"/>
  <c r="AQ63" i="7"/>
  <c r="CC70" i="7"/>
  <c r="BZ70" i="7"/>
  <c r="AK87" i="7"/>
  <c r="AC45" i="7"/>
  <c r="AB46" i="7"/>
  <c r="AA47" i="7"/>
  <c r="Y46" i="7"/>
  <c r="X46" i="7"/>
  <c r="BC69" i="7"/>
  <c r="BD69" i="7"/>
  <c r="BE69" i="7"/>
  <c r="BH69" i="7"/>
  <c r="AF88" i="7"/>
  <c r="AJ88" i="7"/>
  <c r="AI90" i="7"/>
  <c r="AG88" i="7"/>
  <c r="AE88" i="7"/>
  <c r="BG70" i="7"/>
  <c r="AK86" i="7"/>
  <c r="AJ89" i="7"/>
  <c r="AF89" i="7"/>
  <c r="AG89" i="7"/>
  <c r="AI91" i="7"/>
  <c r="AE89" i="7"/>
  <c r="AX174" i="7"/>
  <c r="BF216" i="7"/>
  <c r="BF217" i="7"/>
  <c r="BU45" i="7"/>
  <c r="BV45" i="7" s="1"/>
  <c r="BQ45" i="7"/>
  <c r="BP45" i="7"/>
  <c r="AH91" i="7"/>
  <c r="AX175" i="7"/>
  <c r="BF215" i="7"/>
  <c r="BF218" i="7"/>
  <c r="BS46" i="7"/>
  <c r="Z46" i="7"/>
  <c r="AP135" i="7"/>
  <c r="AP130" i="7"/>
  <c r="AX172" i="7"/>
  <c r="BF214" i="7"/>
  <c r="AX173" i="7"/>
  <c r="AH90" i="7"/>
  <c r="AP134" i="7"/>
  <c r="G92" i="7"/>
  <c r="CA92" i="7" s="1"/>
  <c r="G93" i="7"/>
  <c r="CA93" i="7" s="1"/>
  <c r="H133" i="7"/>
  <c r="CI133" i="7" s="1"/>
  <c r="I178" i="7"/>
  <c r="CQ178" i="7" s="1"/>
  <c r="I177" i="7"/>
  <c r="CQ177" i="7" s="1"/>
  <c r="I176" i="7"/>
  <c r="CQ176" i="7" s="1"/>
  <c r="J222" i="7"/>
  <c r="CY222" i="7" s="1"/>
  <c r="J220" i="7"/>
  <c r="CY220" i="7" s="1"/>
  <c r="H138" i="7"/>
  <c r="CI138" i="7" s="1"/>
  <c r="I179" i="7"/>
  <c r="CQ179" i="7" s="1"/>
  <c r="H137" i="7"/>
  <c r="CI137" i="7" s="1"/>
  <c r="J221" i="7"/>
  <c r="CY221" i="7" s="1"/>
  <c r="J219" i="7"/>
  <c r="CY219" i="7" s="1"/>
  <c r="J223" i="7"/>
  <c r="CY223" i="7" s="1"/>
  <c r="F47" i="7"/>
  <c r="L46" i="7"/>
  <c r="CT63" i="7" l="1"/>
  <c r="CS65" i="7"/>
  <c r="CN65" i="7"/>
  <c r="CR66" i="7"/>
  <c r="CN66" i="7" s="1"/>
  <c r="CO65" i="7"/>
  <c r="AS61" i="7"/>
  <c r="BA66" i="7"/>
  <c r="CV62" i="7"/>
  <c r="CW62" i="7"/>
  <c r="CZ63" i="7"/>
  <c r="CZ64" i="7" s="1"/>
  <c r="DA62" i="7"/>
  <c r="DB62" i="7" s="1"/>
  <c r="AW67" i="7"/>
  <c r="BA67" i="7" s="1"/>
  <c r="AU67" i="7"/>
  <c r="AV67" i="7"/>
  <c r="AY68" i="7"/>
  <c r="AV68" i="7" s="1"/>
  <c r="BX72" i="7"/>
  <c r="BY72" i="7"/>
  <c r="BT48" i="7"/>
  <c r="BR47" i="7"/>
  <c r="CB73" i="7"/>
  <c r="CT65" i="7"/>
  <c r="CL68" i="7"/>
  <c r="CL69" i="7"/>
  <c r="AK89" i="7"/>
  <c r="CD70" i="7"/>
  <c r="CG71" i="7"/>
  <c r="CH71" i="7"/>
  <c r="CK71" i="7"/>
  <c r="CF71" i="7"/>
  <c r="CL70" i="7"/>
  <c r="CJ72" i="7"/>
  <c r="AS62" i="7"/>
  <c r="AC46" i="7"/>
  <c r="AR63" i="7"/>
  <c r="AO63" i="7"/>
  <c r="AN63" i="7"/>
  <c r="AM63" i="7"/>
  <c r="AQ64" i="7"/>
  <c r="BZ71" i="7"/>
  <c r="CC71" i="7"/>
  <c r="BI69" i="7"/>
  <c r="AK88" i="7"/>
  <c r="BF220" i="7"/>
  <c r="AX176" i="7"/>
  <c r="AX178" i="7"/>
  <c r="AP138" i="7"/>
  <c r="BU46" i="7"/>
  <c r="BV46" i="7" s="1"/>
  <c r="BQ46" i="7"/>
  <c r="BP46" i="7"/>
  <c r="BE70" i="7"/>
  <c r="BD70" i="7"/>
  <c r="BC70" i="7"/>
  <c r="BH70" i="7"/>
  <c r="BG71" i="7"/>
  <c r="BG72" i="7" s="1"/>
  <c r="BG73" i="7" s="1"/>
  <c r="AX177" i="7"/>
  <c r="AI93" i="7"/>
  <c r="AG91" i="7"/>
  <c r="AF91" i="7"/>
  <c r="AE91" i="7"/>
  <c r="AJ91" i="7"/>
  <c r="BS47" i="7"/>
  <c r="Z47" i="7"/>
  <c r="BF223" i="7"/>
  <c r="AF90" i="7"/>
  <c r="AE90" i="7"/>
  <c r="AJ90" i="7"/>
  <c r="AI92" i="7"/>
  <c r="AG90" i="7"/>
  <c r="X47" i="7"/>
  <c r="AA48" i="7"/>
  <c r="Y47" i="7"/>
  <c r="AB47" i="7"/>
  <c r="W47" i="7"/>
  <c r="BF222" i="7"/>
  <c r="AP133" i="7"/>
  <c r="AP137" i="7"/>
  <c r="AH93" i="7"/>
  <c r="BF219" i="7"/>
  <c r="AH92" i="7"/>
  <c r="BF221" i="7"/>
  <c r="AX179" i="7"/>
  <c r="H136" i="7"/>
  <c r="CI136" i="7" s="1"/>
  <c r="G94" i="7"/>
  <c r="CA94" i="7" s="1"/>
  <c r="G95" i="7"/>
  <c r="CA95" i="7" s="1"/>
  <c r="H140" i="7"/>
  <c r="CI140" i="7" s="1"/>
  <c r="H141" i="7"/>
  <c r="CI141" i="7" s="1"/>
  <c r="J227" i="7"/>
  <c r="CY227" i="7" s="1"/>
  <c r="I183" i="7"/>
  <c r="CQ183" i="7" s="1"/>
  <c r="I180" i="7"/>
  <c r="CQ180" i="7" s="1"/>
  <c r="J224" i="7"/>
  <c r="CY224" i="7" s="1"/>
  <c r="J228" i="7"/>
  <c r="CY228" i="7" s="1"/>
  <c r="J226" i="7"/>
  <c r="CY226" i="7" s="1"/>
  <c r="J225" i="7"/>
  <c r="CY225" i="7" s="1"/>
  <c r="I181" i="7"/>
  <c r="CQ181" i="7" s="1"/>
  <c r="I182" i="7"/>
  <c r="CQ182" i="7" s="1"/>
  <c r="F48" i="7"/>
  <c r="L47" i="7"/>
  <c r="CR67" i="7" l="1"/>
  <c r="CN67" i="7" s="1"/>
  <c r="CS66" i="7"/>
  <c r="CO66" i="7"/>
  <c r="CP66" i="7"/>
  <c r="AY69" i="7"/>
  <c r="AU69" i="7" s="1"/>
  <c r="CW63" i="7"/>
  <c r="CX63" i="7"/>
  <c r="CV63" i="7"/>
  <c r="DA63" i="7"/>
  <c r="CL71" i="7"/>
  <c r="AU68" i="7"/>
  <c r="AW68" i="7"/>
  <c r="AZ68" i="7"/>
  <c r="CV64" i="7"/>
  <c r="CW64" i="7"/>
  <c r="CX64" i="7"/>
  <c r="DA64" i="7"/>
  <c r="CZ65" i="7"/>
  <c r="CB74" i="7"/>
  <c r="CB75" i="7" s="1"/>
  <c r="BY73" i="7"/>
  <c r="BX73" i="7"/>
  <c r="BT49" i="7"/>
  <c r="BR48" i="7"/>
  <c r="AS63" i="7"/>
  <c r="CH72" i="7"/>
  <c r="CK72" i="7"/>
  <c r="CG72" i="7"/>
  <c r="CF72" i="7"/>
  <c r="CJ73" i="7"/>
  <c r="CD71" i="7"/>
  <c r="BI70" i="7"/>
  <c r="AR64" i="7"/>
  <c r="AO64" i="7"/>
  <c r="AN64" i="7"/>
  <c r="AM64" i="7"/>
  <c r="AQ65" i="7"/>
  <c r="BZ72" i="7"/>
  <c r="CC72" i="7"/>
  <c r="AK90" i="7"/>
  <c r="BH73" i="7"/>
  <c r="BE73" i="7"/>
  <c r="BD73" i="7"/>
  <c r="BC73" i="7"/>
  <c r="AB48" i="7"/>
  <c r="Y48" i="7"/>
  <c r="AA49" i="7"/>
  <c r="X48" i="7"/>
  <c r="W48" i="7"/>
  <c r="AX183" i="7"/>
  <c r="BF227" i="7"/>
  <c r="AI94" i="7"/>
  <c r="AG92" i="7"/>
  <c r="AF92" i="7"/>
  <c r="AE92" i="7"/>
  <c r="AJ92" i="7"/>
  <c r="BE72" i="7"/>
  <c r="BD72" i="7"/>
  <c r="BC72" i="7"/>
  <c r="BH72" i="7"/>
  <c r="AW69" i="7"/>
  <c r="AP140" i="7"/>
  <c r="AI95" i="7"/>
  <c r="AG93" i="7"/>
  <c r="AF93" i="7"/>
  <c r="AE93" i="7"/>
  <c r="AJ93" i="7"/>
  <c r="AK91" i="7"/>
  <c r="AX180" i="7"/>
  <c r="AH95" i="7"/>
  <c r="AX182" i="7"/>
  <c r="BU47" i="7"/>
  <c r="BV47" i="7" s="1"/>
  <c r="BP47" i="7"/>
  <c r="BQ47" i="7"/>
  <c r="BE71" i="7"/>
  <c r="BD71" i="7"/>
  <c r="BC71" i="7"/>
  <c r="BH71" i="7"/>
  <c r="BG74" i="7"/>
  <c r="BG75" i="7" s="1"/>
  <c r="AP141" i="7"/>
  <c r="BS48" i="7"/>
  <c r="Z48" i="7"/>
  <c r="BF224" i="7"/>
  <c r="AX181" i="7"/>
  <c r="BF225" i="7"/>
  <c r="AH94" i="7"/>
  <c r="BF226" i="7"/>
  <c r="AP136" i="7"/>
  <c r="BF228" i="7"/>
  <c r="AC47" i="7"/>
  <c r="G96" i="7"/>
  <c r="CA96" i="7" s="1"/>
  <c r="G97" i="7"/>
  <c r="CA97" i="7" s="1"/>
  <c r="H139" i="7"/>
  <c r="CI139" i="7" s="1"/>
  <c r="I184" i="7"/>
  <c r="CQ184" i="7" s="1"/>
  <c r="I186" i="7"/>
  <c r="CQ186" i="7" s="1"/>
  <c r="J232" i="7"/>
  <c r="CY232" i="7" s="1"/>
  <c r="H143" i="7"/>
  <c r="CI143" i="7" s="1"/>
  <c r="I185" i="7"/>
  <c r="CQ185" i="7" s="1"/>
  <c r="J230" i="7"/>
  <c r="CY230" i="7" s="1"/>
  <c r="I187" i="7"/>
  <c r="CQ187" i="7" s="1"/>
  <c r="H144" i="7"/>
  <c r="CI144" i="7" s="1"/>
  <c r="J231" i="7"/>
  <c r="CY231" i="7" s="1"/>
  <c r="J233" i="7"/>
  <c r="CY233" i="7" s="1"/>
  <c r="J229" i="7"/>
  <c r="CY229" i="7" s="1"/>
  <c r="F49" i="7"/>
  <c r="L48" i="7"/>
  <c r="CS67" i="7" l="1"/>
  <c r="CP67" i="7"/>
  <c r="CO67" i="7"/>
  <c r="CR68" i="7"/>
  <c r="CS68" i="7" s="1"/>
  <c r="AY70" i="7"/>
  <c r="AU70" i="7" s="1"/>
  <c r="CT66" i="7"/>
  <c r="AZ69" i="7"/>
  <c r="BA69" i="7" s="1"/>
  <c r="AV69" i="7"/>
  <c r="DB63" i="7"/>
  <c r="DB64" i="7"/>
  <c r="BA68" i="7"/>
  <c r="CL72" i="7"/>
  <c r="CT67" i="7"/>
  <c r="CX65" i="7"/>
  <c r="CW65" i="7"/>
  <c r="DA65" i="7"/>
  <c r="CV65" i="7"/>
  <c r="CZ66" i="7"/>
  <c r="CZ67" i="7" s="1"/>
  <c r="CZ68" i="7" s="1"/>
  <c r="BI72" i="7"/>
  <c r="BY75" i="7"/>
  <c r="BX75" i="7"/>
  <c r="BY74" i="7"/>
  <c r="BX74" i="7"/>
  <c r="CB76" i="7"/>
  <c r="CB77" i="7" s="1"/>
  <c r="BT50" i="7"/>
  <c r="BR49" i="7"/>
  <c r="BI73" i="7"/>
  <c r="CG73" i="7"/>
  <c r="CH73" i="7"/>
  <c r="CK73" i="7"/>
  <c r="CF73" i="7"/>
  <c r="CD72" i="7"/>
  <c r="CJ74" i="7"/>
  <c r="AS64" i="7"/>
  <c r="AY71" i="7"/>
  <c r="AZ71" i="7" s="1"/>
  <c r="AK93" i="7"/>
  <c r="AR65" i="7"/>
  <c r="AO65" i="7"/>
  <c r="AN65" i="7"/>
  <c r="AM65" i="7"/>
  <c r="AQ66" i="7"/>
  <c r="BZ73" i="7"/>
  <c r="CC73" i="7"/>
  <c r="AK92" i="7"/>
  <c r="AC48" i="7"/>
  <c r="AX184" i="7"/>
  <c r="BS49" i="7"/>
  <c r="Z49" i="7"/>
  <c r="AP139" i="7"/>
  <c r="BD75" i="7"/>
  <c r="BE75" i="7"/>
  <c r="BC75" i="7"/>
  <c r="BH75" i="7"/>
  <c r="BF229" i="7"/>
  <c r="AH97" i="7"/>
  <c r="AF95" i="7"/>
  <c r="AE95" i="7"/>
  <c r="AI97" i="7"/>
  <c r="AG95" i="7"/>
  <c r="AJ95" i="7"/>
  <c r="AH96" i="7"/>
  <c r="Y49" i="7"/>
  <c r="AB49" i="7"/>
  <c r="X49" i="7"/>
  <c r="W49" i="7"/>
  <c r="AA50" i="7"/>
  <c r="BF231" i="7"/>
  <c r="AX187" i="7"/>
  <c r="BD74" i="7"/>
  <c r="BE74" i="7"/>
  <c r="BC74" i="7"/>
  <c r="BH74" i="7"/>
  <c r="AP143" i="7"/>
  <c r="BI71" i="7"/>
  <c r="AF94" i="7"/>
  <c r="AJ94" i="7"/>
  <c r="AI96" i="7"/>
  <c r="AG94" i="7"/>
  <c r="AE94" i="7"/>
  <c r="AX185" i="7"/>
  <c r="BF232" i="7"/>
  <c r="BF233" i="7"/>
  <c r="AP144" i="7"/>
  <c r="BF230" i="7"/>
  <c r="AX186" i="7"/>
  <c r="BU48" i="7"/>
  <c r="BV48" i="7" s="1"/>
  <c r="BQ48" i="7"/>
  <c r="BP48" i="7"/>
  <c r="BG76" i="7"/>
  <c r="G99" i="7"/>
  <c r="CA99" i="7" s="1"/>
  <c r="H142" i="7"/>
  <c r="CI142" i="7" s="1"/>
  <c r="G98" i="7"/>
  <c r="CA98" i="7" s="1"/>
  <c r="H146" i="7"/>
  <c r="CI146" i="7" s="1"/>
  <c r="J236" i="7"/>
  <c r="CY236" i="7" s="1"/>
  <c r="I191" i="7"/>
  <c r="CQ191" i="7" s="1"/>
  <c r="I189" i="7"/>
  <c r="CQ189" i="7" s="1"/>
  <c r="J238" i="7"/>
  <c r="CY238" i="7" s="1"/>
  <c r="J235" i="7"/>
  <c r="CY235" i="7" s="1"/>
  <c r="J237" i="7"/>
  <c r="CY237" i="7" s="1"/>
  <c r="J234" i="7"/>
  <c r="CY234" i="7" s="1"/>
  <c r="I190" i="7"/>
  <c r="CQ190" i="7" s="1"/>
  <c r="H147" i="7"/>
  <c r="CI147" i="7" s="1"/>
  <c r="I188" i="7"/>
  <c r="CQ188" i="7" s="1"/>
  <c r="F50" i="7"/>
  <c r="L49" i="7"/>
  <c r="CR69" i="7" l="1"/>
  <c r="CR70" i="7" s="1"/>
  <c r="CO70" i="7" s="1"/>
  <c r="CP68" i="7"/>
  <c r="CT68" i="7" s="1"/>
  <c r="CO68" i="7"/>
  <c r="CN68" i="7"/>
  <c r="AZ70" i="7"/>
  <c r="AV70" i="7"/>
  <c r="AW70" i="7"/>
  <c r="DB65" i="7"/>
  <c r="CL73" i="7"/>
  <c r="CZ69" i="7"/>
  <c r="CZ70" i="7" s="1"/>
  <c r="CX70" i="7" s="1"/>
  <c r="CX68" i="7"/>
  <c r="CV68" i="7"/>
  <c r="CW68" i="7"/>
  <c r="DA68" i="7"/>
  <c r="DA66" i="7"/>
  <c r="CW66" i="7"/>
  <c r="CV66" i="7"/>
  <c r="CX66" i="7"/>
  <c r="CX67" i="7"/>
  <c r="DA67" i="7"/>
  <c r="CW67" i="7"/>
  <c r="CV67" i="7"/>
  <c r="BR50" i="7"/>
  <c r="BT51" i="7"/>
  <c r="CN69" i="7"/>
  <c r="CP69" i="7"/>
  <c r="CO69" i="7"/>
  <c r="CS69" i="7"/>
  <c r="BY77" i="7"/>
  <c r="BX77" i="7"/>
  <c r="CS70" i="7"/>
  <c r="CP70" i="7"/>
  <c r="CN70" i="7"/>
  <c r="BX76" i="7"/>
  <c r="BY76" i="7"/>
  <c r="CB78" i="7"/>
  <c r="CB79" i="7" s="1"/>
  <c r="CR71" i="7"/>
  <c r="BI74" i="7"/>
  <c r="AS65" i="7"/>
  <c r="AY72" i="7"/>
  <c r="AU72" i="7" s="1"/>
  <c r="CF74" i="7"/>
  <c r="CH74" i="7"/>
  <c r="CK74" i="7"/>
  <c r="CG74" i="7"/>
  <c r="CJ75" i="7"/>
  <c r="CJ76" i="7" s="1"/>
  <c r="AU71" i="7"/>
  <c r="AW71" i="7"/>
  <c r="BA71" i="7" s="1"/>
  <c r="AV71" i="7"/>
  <c r="BI75" i="7"/>
  <c r="AK95" i="7"/>
  <c r="CD73" i="7"/>
  <c r="AR66" i="7"/>
  <c r="AO66" i="7"/>
  <c r="AN66" i="7"/>
  <c r="AM66" i="7"/>
  <c r="AQ67" i="7"/>
  <c r="BZ74" i="7"/>
  <c r="CC74" i="7"/>
  <c r="BA70" i="7"/>
  <c r="X50" i="7"/>
  <c r="AA51" i="7"/>
  <c r="AB50" i="7"/>
  <c r="Y50" i="7"/>
  <c r="W50" i="7"/>
  <c r="BF236" i="7"/>
  <c r="AC49" i="7"/>
  <c r="AE96" i="7"/>
  <c r="AF96" i="7"/>
  <c r="AJ96" i="7"/>
  <c r="AG96" i="7"/>
  <c r="AI98" i="7"/>
  <c r="AI99" i="7"/>
  <c r="AG97" i="7"/>
  <c r="AJ97" i="7"/>
  <c r="AF97" i="7"/>
  <c r="AE97" i="7"/>
  <c r="AX191" i="7"/>
  <c r="BS50" i="7"/>
  <c r="Z50" i="7"/>
  <c r="AK94" i="7"/>
  <c r="AX188" i="7"/>
  <c r="AP142" i="7"/>
  <c r="BH76" i="7"/>
  <c r="BC76" i="7"/>
  <c r="BE76" i="7"/>
  <c r="BD76" i="7"/>
  <c r="AH99" i="7"/>
  <c r="BU49" i="7"/>
  <c r="BV49" i="7" s="1"/>
  <c r="BP49" i="7"/>
  <c r="BQ49" i="7"/>
  <c r="AP146" i="7"/>
  <c r="AH98" i="7"/>
  <c r="AP147" i="7"/>
  <c r="AX190" i="7"/>
  <c r="BF234" i="7"/>
  <c r="BF237" i="7"/>
  <c r="BF235" i="7"/>
  <c r="AX189" i="7"/>
  <c r="BF238" i="7"/>
  <c r="BG77" i="7"/>
  <c r="G100" i="7"/>
  <c r="CA100" i="7" s="1"/>
  <c r="H145" i="7"/>
  <c r="CI145" i="7" s="1"/>
  <c r="G101" i="7"/>
  <c r="CA101" i="7" s="1"/>
  <c r="I192" i="7"/>
  <c r="CQ192" i="7" s="1"/>
  <c r="I194" i="7"/>
  <c r="CQ194" i="7" s="1"/>
  <c r="J243" i="7"/>
  <c r="CY243" i="7" s="1"/>
  <c r="I195" i="7"/>
  <c r="CQ195" i="7" s="1"/>
  <c r="H150" i="7"/>
  <c r="CI150" i="7" s="1"/>
  <c r="J240" i="7"/>
  <c r="CY240" i="7" s="1"/>
  <c r="I193" i="7"/>
  <c r="CQ193" i="7" s="1"/>
  <c r="J241" i="7"/>
  <c r="CY241" i="7" s="1"/>
  <c r="J242" i="7"/>
  <c r="CY242" i="7" s="1"/>
  <c r="J239" i="7"/>
  <c r="CY239" i="7" s="1"/>
  <c r="H149" i="7"/>
  <c r="CI149" i="7" s="1"/>
  <c r="F51" i="7"/>
  <c r="L50" i="7"/>
  <c r="DB68" i="7" l="1"/>
  <c r="DB67" i="7"/>
  <c r="CZ71" i="7"/>
  <c r="DA71" i="7" s="1"/>
  <c r="CW70" i="7"/>
  <c r="CV70" i="7"/>
  <c r="DA70" i="7"/>
  <c r="DB70" i="7" s="1"/>
  <c r="DB66" i="7"/>
  <c r="CT69" i="7"/>
  <c r="CW69" i="7"/>
  <c r="DA69" i="7"/>
  <c r="CV69" i="7"/>
  <c r="CX69" i="7"/>
  <c r="CL74" i="7"/>
  <c r="CT70" i="7"/>
  <c r="CB80" i="7"/>
  <c r="CB81" i="7" s="1"/>
  <c r="BX79" i="7"/>
  <c r="BY79" i="7"/>
  <c r="CR72" i="7"/>
  <c r="CR73" i="7" s="1"/>
  <c r="CP71" i="7"/>
  <c r="CN71" i="7"/>
  <c r="CS71" i="7"/>
  <c r="CO71" i="7"/>
  <c r="BT52" i="7"/>
  <c r="BR51" i="7"/>
  <c r="BY78" i="7"/>
  <c r="BX78" i="7"/>
  <c r="AZ72" i="7"/>
  <c r="AV72" i="7"/>
  <c r="CK76" i="7"/>
  <c r="CF76" i="7"/>
  <c r="CG76" i="7"/>
  <c r="CH76" i="7"/>
  <c r="AS66" i="7"/>
  <c r="CH75" i="7"/>
  <c r="CG75" i="7"/>
  <c r="CF75" i="7"/>
  <c r="CK75" i="7"/>
  <c r="CJ77" i="7"/>
  <c r="AW72" i="7"/>
  <c r="AY73" i="7"/>
  <c r="AY74" i="7" s="1"/>
  <c r="AY75" i="7" s="1"/>
  <c r="AV75" i="7" s="1"/>
  <c r="AK96" i="7"/>
  <c r="CD74" i="7"/>
  <c r="AR67" i="7"/>
  <c r="AO67" i="7"/>
  <c r="AN67" i="7"/>
  <c r="AM67" i="7"/>
  <c r="AQ68" i="7"/>
  <c r="BZ75" i="7"/>
  <c r="CC75" i="7"/>
  <c r="AK97" i="7"/>
  <c r="AC50" i="7"/>
  <c r="X51" i="7"/>
  <c r="AB51" i="7"/>
  <c r="AA52" i="7"/>
  <c r="Y51" i="7"/>
  <c r="W51" i="7"/>
  <c r="AH100" i="7"/>
  <c r="BI76" i="7"/>
  <c r="BF240" i="7"/>
  <c r="BF239" i="7"/>
  <c r="BF242" i="7"/>
  <c r="AP150" i="7"/>
  <c r="BF243" i="7"/>
  <c r="BU50" i="7"/>
  <c r="BV50" i="7" s="1"/>
  <c r="BQ50" i="7"/>
  <c r="BP50" i="7"/>
  <c r="AX194" i="7"/>
  <c r="BF241" i="7"/>
  <c r="AX193" i="7"/>
  <c r="AX195" i="7"/>
  <c r="AX192" i="7"/>
  <c r="BS51" i="7"/>
  <c r="Z51" i="7"/>
  <c r="AH101" i="7"/>
  <c r="AP149" i="7"/>
  <c r="AP145" i="7"/>
  <c r="AG99" i="7"/>
  <c r="AI101" i="7"/>
  <c r="AE99" i="7"/>
  <c r="AJ99" i="7"/>
  <c r="AF99" i="7"/>
  <c r="BG78" i="7"/>
  <c r="BE77" i="7"/>
  <c r="BH77" i="7"/>
  <c r="BD77" i="7"/>
  <c r="BC77" i="7"/>
  <c r="AI100" i="7"/>
  <c r="AG98" i="7"/>
  <c r="AE98" i="7"/>
  <c r="AJ98" i="7"/>
  <c r="AF98" i="7"/>
  <c r="G103" i="7"/>
  <c r="CA103" i="7" s="1"/>
  <c r="H148" i="7"/>
  <c r="CI148" i="7" s="1"/>
  <c r="G102" i="7"/>
  <c r="CA102" i="7" s="1"/>
  <c r="J244" i="7"/>
  <c r="CY244" i="7" s="1"/>
  <c r="J246" i="7"/>
  <c r="CY246" i="7" s="1"/>
  <c r="J245" i="7"/>
  <c r="CY245" i="7" s="1"/>
  <c r="I199" i="7"/>
  <c r="CQ199" i="7" s="1"/>
  <c r="I198" i="7"/>
  <c r="CQ198" i="7" s="1"/>
  <c r="J247" i="7"/>
  <c r="CY247" i="7" s="1"/>
  <c r="J248" i="7"/>
  <c r="CY248" i="7" s="1"/>
  <c r="H152" i="7"/>
  <c r="CI152" i="7" s="1"/>
  <c r="I197" i="7"/>
  <c r="CQ197" i="7" s="1"/>
  <c r="H153" i="7"/>
  <c r="CI153" i="7" s="1"/>
  <c r="I196" i="7"/>
  <c r="CQ196" i="7" s="1"/>
  <c r="F52" i="7"/>
  <c r="L51" i="7"/>
  <c r="BA72" i="7" l="1"/>
  <c r="CZ72" i="7"/>
  <c r="CW72" i="7" s="1"/>
  <c r="CX71" i="7"/>
  <c r="DB71" i="7" s="1"/>
  <c r="CW71" i="7"/>
  <c r="CV71" i="7"/>
  <c r="DB69" i="7"/>
  <c r="CT71" i="7"/>
  <c r="AU73" i="7"/>
  <c r="AV73" i="7"/>
  <c r="CR74" i="7"/>
  <c r="CR75" i="7" s="1"/>
  <c r="CR76" i="7" s="1"/>
  <c r="CL76" i="7"/>
  <c r="BT53" i="7"/>
  <c r="BR52" i="7"/>
  <c r="CN73" i="7"/>
  <c r="CS73" i="7"/>
  <c r="CO73" i="7"/>
  <c r="CP73" i="7"/>
  <c r="BX81" i="7"/>
  <c r="BY81" i="7"/>
  <c r="BX80" i="7"/>
  <c r="BY80" i="7"/>
  <c r="CB82" i="7"/>
  <c r="CB83" i="7" s="1"/>
  <c r="CZ73" i="7"/>
  <c r="CZ74" i="7" s="1"/>
  <c r="CN72" i="7"/>
  <c r="CS72" i="7"/>
  <c r="CO72" i="7"/>
  <c r="CP72" i="7"/>
  <c r="AU74" i="7"/>
  <c r="AW74" i="7"/>
  <c r="AZ75" i="7"/>
  <c r="AW73" i="7"/>
  <c r="CL75" i="7"/>
  <c r="AS67" i="7"/>
  <c r="AW75" i="7"/>
  <c r="AY76" i="7"/>
  <c r="AY77" i="7" s="1"/>
  <c r="AU77" i="7" s="1"/>
  <c r="CD75" i="7"/>
  <c r="AZ73" i="7"/>
  <c r="AU75" i="7"/>
  <c r="AV74" i="7"/>
  <c r="AZ74" i="7"/>
  <c r="CF77" i="7"/>
  <c r="CH77" i="7"/>
  <c r="CK77" i="7"/>
  <c r="CG77" i="7"/>
  <c r="CJ78" i="7"/>
  <c r="CJ79" i="7" s="1"/>
  <c r="AR68" i="7"/>
  <c r="AO68" i="7"/>
  <c r="AN68" i="7"/>
  <c r="AM68" i="7"/>
  <c r="AQ69" i="7"/>
  <c r="CC76" i="7"/>
  <c r="BZ76" i="7"/>
  <c r="AK99" i="7"/>
  <c r="AK98" i="7"/>
  <c r="AC51" i="7"/>
  <c r="BI77" i="7"/>
  <c r="AX197" i="7"/>
  <c r="AP152" i="7"/>
  <c r="BE78" i="7"/>
  <c r="BH78" i="7"/>
  <c r="BD78" i="7"/>
  <c r="BC78" i="7"/>
  <c r="X52" i="7"/>
  <c r="AA53" i="7"/>
  <c r="Y52" i="7"/>
  <c r="W52" i="7"/>
  <c r="AB52" i="7"/>
  <c r="BF247" i="7"/>
  <c r="AX198" i="7"/>
  <c r="BF245" i="7"/>
  <c r="AG101" i="7"/>
  <c r="AF101" i="7"/>
  <c r="AI103" i="7"/>
  <c r="AE101" i="7"/>
  <c r="AJ101" i="7"/>
  <c r="BU51" i="7"/>
  <c r="BV51" i="7" s="1"/>
  <c r="BP51" i="7"/>
  <c r="BQ51" i="7"/>
  <c r="BG79" i="7"/>
  <c r="BF248" i="7"/>
  <c r="AX199" i="7"/>
  <c r="BF244" i="7"/>
  <c r="AH102" i="7"/>
  <c r="AG100" i="7"/>
  <c r="AE100" i="7"/>
  <c r="AI102" i="7"/>
  <c r="AF100" i="7"/>
  <c r="AJ100" i="7"/>
  <c r="AX196" i="7"/>
  <c r="AP148" i="7"/>
  <c r="BF246" i="7"/>
  <c r="BS52" i="7"/>
  <c r="Z52" i="7"/>
  <c r="AP153" i="7"/>
  <c r="AH103" i="7"/>
  <c r="G104" i="7"/>
  <c r="CA104" i="7" s="1"/>
  <c r="G105" i="7"/>
  <c r="CA105" i="7" s="1"/>
  <c r="H151" i="7"/>
  <c r="CI151" i="7" s="1"/>
  <c r="H156" i="7"/>
  <c r="CI156" i="7" s="1"/>
  <c r="H155" i="7"/>
  <c r="CI155" i="7" s="1"/>
  <c r="J252" i="7"/>
  <c r="CY252" i="7" s="1"/>
  <c r="I203" i="7"/>
  <c r="CQ203" i="7" s="1"/>
  <c r="J251" i="7"/>
  <c r="CY251" i="7" s="1"/>
  <c r="J250" i="7"/>
  <c r="CY250" i="7" s="1"/>
  <c r="I200" i="7"/>
  <c r="CQ200" i="7" s="1"/>
  <c r="I201" i="7"/>
  <c r="CQ201" i="7" s="1"/>
  <c r="J253" i="7"/>
  <c r="CY253" i="7" s="1"/>
  <c r="I202" i="7"/>
  <c r="CQ202" i="7" s="1"/>
  <c r="J249" i="7"/>
  <c r="CY249" i="7" s="1"/>
  <c r="F53" i="7"/>
  <c r="L52" i="7"/>
  <c r="CX72" i="7" l="1"/>
  <c r="CV72" i="7"/>
  <c r="DA72" i="7"/>
  <c r="BA73" i="7"/>
  <c r="BA75" i="7"/>
  <c r="CT73" i="7"/>
  <c r="CO74" i="7"/>
  <c r="CP74" i="7"/>
  <c r="CN74" i="7"/>
  <c r="CS74" i="7"/>
  <c r="CZ75" i="7"/>
  <c r="CV74" i="7"/>
  <c r="CW74" i="7"/>
  <c r="CX74" i="7"/>
  <c r="DA74" i="7"/>
  <c r="BY83" i="7"/>
  <c r="BX83" i="7"/>
  <c r="CP76" i="7"/>
  <c r="CN76" i="7"/>
  <c r="CO76" i="7"/>
  <c r="CS76" i="7"/>
  <c r="CT72" i="7"/>
  <c r="DA73" i="7"/>
  <c r="CW73" i="7"/>
  <c r="CX73" i="7"/>
  <c r="CV73" i="7"/>
  <c r="CL77" i="7"/>
  <c r="CR77" i="7"/>
  <c r="BY82" i="7"/>
  <c r="BX82" i="7"/>
  <c r="CB84" i="7"/>
  <c r="CB85" i="7" s="1"/>
  <c r="BT54" i="7"/>
  <c r="BR53" i="7"/>
  <c r="BA74" i="7"/>
  <c r="CN75" i="7"/>
  <c r="CO75" i="7"/>
  <c r="CP75" i="7"/>
  <c r="CS75" i="7"/>
  <c r="AW76" i="7"/>
  <c r="AZ77" i="7"/>
  <c r="AV77" i="7"/>
  <c r="AW77" i="7"/>
  <c r="AY78" i="7"/>
  <c r="AZ78" i="7" s="1"/>
  <c r="AZ76" i="7"/>
  <c r="CH78" i="7"/>
  <c r="CF78" i="7"/>
  <c r="CK78" i="7"/>
  <c r="CG78" i="7"/>
  <c r="CK79" i="7"/>
  <c r="CH79" i="7"/>
  <c r="CF79" i="7"/>
  <c r="CG79" i="7"/>
  <c r="AV76" i="7"/>
  <c r="CJ80" i="7"/>
  <c r="AU76" i="7"/>
  <c r="AC52" i="7"/>
  <c r="CD76" i="7"/>
  <c r="AK100" i="7"/>
  <c r="AS68" i="7"/>
  <c r="AR69" i="7"/>
  <c r="AO69" i="7"/>
  <c r="AN69" i="7"/>
  <c r="AM69" i="7"/>
  <c r="AQ70" i="7"/>
  <c r="CC77" i="7"/>
  <c r="BZ77" i="7"/>
  <c r="BI78" i="7"/>
  <c r="AK101" i="7"/>
  <c r="AE103" i="7"/>
  <c r="AI105" i="7"/>
  <c r="AG103" i="7"/>
  <c r="AF103" i="7"/>
  <c r="AJ103" i="7"/>
  <c r="AB53" i="7"/>
  <c r="Y53" i="7"/>
  <c r="X53" i="7"/>
  <c r="AA54" i="7"/>
  <c r="W53" i="7"/>
  <c r="BF251" i="7"/>
  <c r="AX203" i="7"/>
  <c r="BH79" i="7"/>
  <c r="BE79" i="7"/>
  <c r="BC79" i="7"/>
  <c r="BD79" i="7"/>
  <c r="BG80" i="7"/>
  <c r="BU52" i="7"/>
  <c r="BV52" i="7" s="1"/>
  <c r="BP52" i="7"/>
  <c r="BQ52" i="7"/>
  <c r="BF252" i="7"/>
  <c r="AP151" i="7"/>
  <c r="AP155" i="7"/>
  <c r="Z53" i="7"/>
  <c r="BS53" i="7"/>
  <c r="AJ102" i="7"/>
  <c r="AF102" i="7"/>
  <c r="AI104" i="7"/>
  <c r="AG102" i="7"/>
  <c r="AE102" i="7"/>
  <c r="BF250" i="7"/>
  <c r="BF253" i="7"/>
  <c r="AH105" i="7"/>
  <c r="AP156" i="7"/>
  <c r="BF249" i="7"/>
  <c r="AX202" i="7"/>
  <c r="AX201" i="7"/>
  <c r="AH104" i="7"/>
  <c r="AX200" i="7"/>
  <c r="G107" i="7"/>
  <c r="CA107" i="7" s="1"/>
  <c r="H154" i="7"/>
  <c r="CI154" i="7" s="1"/>
  <c r="G106" i="7"/>
  <c r="CA106" i="7" s="1"/>
  <c r="J255" i="7"/>
  <c r="CY255" i="7" s="1"/>
  <c r="J254" i="7"/>
  <c r="CY254" i="7" s="1"/>
  <c r="J258" i="7"/>
  <c r="CY258" i="7" s="1"/>
  <c r="J256" i="7"/>
  <c r="CY256" i="7" s="1"/>
  <c r="J257" i="7"/>
  <c r="CY257" i="7" s="1"/>
  <c r="H159" i="7"/>
  <c r="CI159" i="7" s="1"/>
  <c r="I206" i="7"/>
  <c r="CQ206" i="7" s="1"/>
  <c r="I205" i="7"/>
  <c r="CQ205" i="7" s="1"/>
  <c r="I204" i="7"/>
  <c r="CQ204" i="7" s="1"/>
  <c r="I207" i="7"/>
  <c r="CQ207" i="7" s="1"/>
  <c r="H158" i="7"/>
  <c r="CI158" i="7" s="1"/>
  <c r="F54" i="7"/>
  <c r="L53" i="7"/>
  <c r="DB72" i="7" l="1"/>
  <c r="CT76" i="7"/>
  <c r="CT74" i="7"/>
  <c r="CT75" i="7"/>
  <c r="DB74" i="7"/>
  <c r="BA77" i="7"/>
  <c r="CL78" i="7"/>
  <c r="BA76" i="7"/>
  <c r="CL79" i="7"/>
  <c r="AY79" i="7"/>
  <c r="AV79" i="7" s="1"/>
  <c r="CN77" i="7"/>
  <c r="CO77" i="7"/>
  <c r="CP77" i="7"/>
  <c r="CS77" i="7"/>
  <c r="CR78" i="7"/>
  <c r="CR79" i="7" s="1"/>
  <c r="CR80" i="7" s="1"/>
  <c r="CS80" i="7" s="1"/>
  <c r="BY85" i="7"/>
  <c r="BX85" i="7"/>
  <c r="DB73" i="7"/>
  <c r="AK103" i="7"/>
  <c r="BR54" i="7"/>
  <c r="BT55" i="7"/>
  <c r="BX84" i="7"/>
  <c r="BY84" i="7"/>
  <c r="CB86" i="7"/>
  <c r="CB87" i="7" s="1"/>
  <c r="CV75" i="7"/>
  <c r="CW75" i="7"/>
  <c r="DA75" i="7"/>
  <c r="CX75" i="7"/>
  <c r="CZ76" i="7"/>
  <c r="CJ81" i="7"/>
  <c r="CJ82" i="7" s="1"/>
  <c r="AV78" i="7"/>
  <c r="AU78" i="7"/>
  <c r="AW78" i="7"/>
  <c r="BA78" i="7" s="1"/>
  <c r="AS69" i="7"/>
  <c r="CK80" i="7"/>
  <c r="CG80" i="7"/>
  <c r="CH80" i="7"/>
  <c r="CF80" i="7"/>
  <c r="CD77" i="7"/>
  <c r="AR70" i="7"/>
  <c r="AO70" i="7"/>
  <c r="AN70" i="7"/>
  <c r="AM70" i="7"/>
  <c r="AQ71" i="7"/>
  <c r="BZ78" i="7"/>
  <c r="CC78" i="7"/>
  <c r="AC53" i="7"/>
  <c r="BF254" i="7"/>
  <c r="BF256" i="7"/>
  <c r="BF255" i="7"/>
  <c r="Y54" i="7"/>
  <c r="W54" i="7"/>
  <c r="X54" i="7"/>
  <c r="AA55" i="7"/>
  <c r="AB54" i="7"/>
  <c r="AF104" i="7"/>
  <c r="AE104" i="7"/>
  <c r="AJ104" i="7"/>
  <c r="AI106" i="7"/>
  <c r="AG104" i="7"/>
  <c r="BI79" i="7"/>
  <c r="BS54" i="7"/>
  <c r="Z54" i="7"/>
  <c r="AP158" i="7"/>
  <c r="AP154" i="7"/>
  <c r="AH106" i="7"/>
  <c r="AX207" i="7"/>
  <c r="AH107" i="7"/>
  <c r="AK102" i="7"/>
  <c r="BF257" i="7"/>
  <c r="BF258" i="7"/>
  <c r="AX204" i="7"/>
  <c r="AX205" i="7"/>
  <c r="AX206" i="7"/>
  <c r="AP159" i="7"/>
  <c r="AE105" i="7"/>
  <c r="AI107" i="7"/>
  <c r="AG105" i="7"/>
  <c r="AJ105" i="7"/>
  <c r="AF105" i="7"/>
  <c r="BE80" i="7"/>
  <c r="BC80" i="7"/>
  <c r="BH80" i="7"/>
  <c r="BD80" i="7"/>
  <c r="BU53" i="7"/>
  <c r="BV53" i="7" s="1"/>
  <c r="BQ53" i="7"/>
  <c r="BP53" i="7"/>
  <c r="BG81" i="7"/>
  <c r="G109" i="7"/>
  <c r="CA109" i="7" s="1"/>
  <c r="G108" i="7"/>
  <c r="CA108" i="7" s="1"/>
  <c r="H157" i="7"/>
  <c r="CI157" i="7" s="1"/>
  <c r="J261" i="7"/>
  <c r="CY261" i="7" s="1"/>
  <c r="J259" i="7"/>
  <c r="CY259" i="7" s="1"/>
  <c r="J262" i="7"/>
  <c r="CY262" i="7" s="1"/>
  <c r="J263" i="7"/>
  <c r="CY263" i="7" s="1"/>
  <c r="J260" i="7"/>
  <c r="CY260" i="7" s="1"/>
  <c r="H161" i="7"/>
  <c r="CI161" i="7" s="1"/>
  <c r="I208" i="7"/>
  <c r="CQ208" i="7" s="1"/>
  <c r="I210" i="7"/>
  <c r="CQ210" i="7" s="1"/>
  <c r="I211" i="7"/>
  <c r="CQ211" i="7" s="1"/>
  <c r="I209" i="7"/>
  <c r="CQ209" i="7" s="1"/>
  <c r="H162" i="7"/>
  <c r="CI162" i="7" s="1"/>
  <c r="F55" i="7"/>
  <c r="L54" i="7"/>
  <c r="CT77" i="7" l="1"/>
  <c r="DB75" i="7"/>
  <c r="AU79" i="7"/>
  <c r="AZ79" i="7"/>
  <c r="AW79" i="7"/>
  <c r="AY80" i="7"/>
  <c r="AV80" i="7" s="1"/>
  <c r="CP79" i="7"/>
  <c r="CN79" i="7"/>
  <c r="CP80" i="7"/>
  <c r="CT80" i="7" s="1"/>
  <c r="CV76" i="7"/>
  <c r="CW76" i="7"/>
  <c r="CX76" i="7"/>
  <c r="DA76" i="7"/>
  <c r="CZ77" i="7"/>
  <c r="CS79" i="7"/>
  <c r="CN80" i="7"/>
  <c r="BY87" i="7"/>
  <c r="BX87" i="7"/>
  <c r="AK104" i="7"/>
  <c r="CN78" i="7"/>
  <c r="CP78" i="7"/>
  <c r="CO78" i="7"/>
  <c r="CS78" i="7"/>
  <c r="CR81" i="7"/>
  <c r="CR82" i="7" s="1"/>
  <c r="CR83" i="7" s="1"/>
  <c r="BY86" i="7"/>
  <c r="BX86" i="7"/>
  <c r="CB88" i="7"/>
  <c r="CB89" i="7" s="1"/>
  <c r="CO80" i="7"/>
  <c r="CO79" i="7"/>
  <c r="BR55" i="7"/>
  <c r="BT56" i="7"/>
  <c r="CH81" i="7"/>
  <c r="CG81" i="7"/>
  <c r="AS70" i="7"/>
  <c r="CF81" i="7"/>
  <c r="CF82" i="7"/>
  <c r="CK82" i="7"/>
  <c r="CG82" i="7"/>
  <c r="CH82" i="7"/>
  <c r="CJ83" i="7"/>
  <c r="CJ84" i="7" s="1"/>
  <c r="CK81" i="7"/>
  <c r="AK105" i="7"/>
  <c r="CL80" i="7"/>
  <c r="CD78" i="7"/>
  <c r="AR71" i="7"/>
  <c r="AO71" i="7"/>
  <c r="AN71" i="7"/>
  <c r="AM71" i="7"/>
  <c r="AQ72" i="7"/>
  <c r="BZ79" i="7"/>
  <c r="CC79" i="7"/>
  <c r="BI80" i="7"/>
  <c r="BH81" i="7"/>
  <c r="BE81" i="7"/>
  <c r="BC81" i="7"/>
  <c r="BD81" i="7"/>
  <c r="BG82" i="7"/>
  <c r="AC54" i="7"/>
  <c r="AH109" i="7"/>
  <c r="X55" i="7"/>
  <c r="AA56" i="7"/>
  <c r="W55" i="7"/>
  <c r="Y55" i="7"/>
  <c r="AB55" i="7"/>
  <c r="AX211" i="7"/>
  <c r="AX208" i="7"/>
  <c r="AP161" i="7"/>
  <c r="AX210" i="7"/>
  <c r="BF260" i="7"/>
  <c r="BU54" i="7"/>
  <c r="BV54" i="7" s="1"/>
  <c r="BQ54" i="7"/>
  <c r="BP54" i="7"/>
  <c r="BF262" i="7"/>
  <c r="BF263" i="7"/>
  <c r="BF259" i="7"/>
  <c r="AE107" i="7"/>
  <c r="AI109" i="7"/>
  <c r="AG107" i="7"/>
  <c r="AJ107" i="7"/>
  <c r="AF107" i="7"/>
  <c r="AI108" i="7"/>
  <c r="AJ106" i="7"/>
  <c r="AG106" i="7"/>
  <c r="AF106" i="7"/>
  <c r="AE106" i="7"/>
  <c r="BF261" i="7"/>
  <c r="BS55" i="7"/>
  <c r="Z55" i="7"/>
  <c r="AP157" i="7"/>
  <c r="AX209" i="7"/>
  <c r="AP162" i="7"/>
  <c r="AH108" i="7"/>
  <c r="G110" i="7"/>
  <c r="CA110" i="7" s="1"/>
  <c r="H160" i="7"/>
  <c r="CI160" i="7" s="1"/>
  <c r="G111" i="7"/>
  <c r="CA111" i="7" s="1"/>
  <c r="J264" i="7"/>
  <c r="CY264" i="7" s="1"/>
  <c r="J268" i="7"/>
  <c r="CY268" i="7" s="1"/>
  <c r="J265" i="7"/>
  <c r="CY265" i="7" s="1"/>
  <c r="J267" i="7"/>
  <c r="CY267" i="7" s="1"/>
  <c r="J266" i="7"/>
  <c r="CY266" i="7" s="1"/>
  <c r="I214" i="7"/>
  <c r="CQ214" i="7" s="1"/>
  <c r="H164" i="7"/>
  <c r="CI164" i="7" s="1"/>
  <c r="I212" i="7"/>
  <c r="CQ212" i="7" s="1"/>
  <c r="H165" i="7"/>
  <c r="CI165" i="7" s="1"/>
  <c r="I215" i="7"/>
  <c r="CQ215" i="7" s="1"/>
  <c r="I213" i="7"/>
  <c r="CQ213" i="7" s="1"/>
  <c r="F56" i="7"/>
  <c r="L55" i="7"/>
  <c r="AY81" i="7" l="1"/>
  <c r="AZ81" i="7" s="1"/>
  <c r="BA79" i="7"/>
  <c r="AZ80" i="7"/>
  <c r="AW80" i="7"/>
  <c r="DB76" i="7"/>
  <c r="AU80" i="7"/>
  <c r="CT78" i="7"/>
  <c r="CT79" i="7"/>
  <c r="BX89" i="7"/>
  <c r="BY89" i="7"/>
  <c r="CZ78" i="7"/>
  <c r="CZ79" i="7" s="1"/>
  <c r="CW77" i="7"/>
  <c r="DA77" i="7"/>
  <c r="CV77" i="7"/>
  <c r="CX77" i="7"/>
  <c r="CS81" i="7"/>
  <c r="CP81" i="7"/>
  <c r="BT57" i="7"/>
  <c r="BR56" i="7"/>
  <c r="CO81" i="7"/>
  <c r="CL81" i="7"/>
  <c r="CN81" i="7"/>
  <c r="BY88" i="7"/>
  <c r="BX88" i="7"/>
  <c r="CB90" i="7"/>
  <c r="CF83" i="7"/>
  <c r="CH83" i="7"/>
  <c r="CK83" i="7"/>
  <c r="CK84" i="7"/>
  <c r="CH84" i="7"/>
  <c r="CF84" i="7"/>
  <c r="CG84" i="7"/>
  <c r="CL82" i="7"/>
  <c r="CJ85" i="7"/>
  <c r="CG83" i="7"/>
  <c r="CP82" i="7"/>
  <c r="CS82" i="7"/>
  <c r="CN82" i="7"/>
  <c r="CO82" i="7"/>
  <c r="CS83" i="7"/>
  <c r="CP83" i="7"/>
  <c r="CO83" i="7"/>
  <c r="CN83" i="7"/>
  <c r="AS71" i="7"/>
  <c r="CR84" i="7"/>
  <c r="CR85" i="7" s="1"/>
  <c r="AR72" i="7"/>
  <c r="AO72" i="7"/>
  <c r="AN72" i="7"/>
  <c r="AM72" i="7"/>
  <c r="AQ73" i="7"/>
  <c r="BZ80" i="7"/>
  <c r="CC80" i="7"/>
  <c r="CD79" i="7"/>
  <c r="BI81" i="7"/>
  <c r="AK106" i="7"/>
  <c r="AJ108" i="7"/>
  <c r="AF108" i="7"/>
  <c r="AE108" i="7"/>
  <c r="AG108" i="7"/>
  <c r="AI110" i="7"/>
  <c r="AX215" i="7"/>
  <c r="AC55" i="7"/>
  <c r="AP164" i="7"/>
  <c r="BU55" i="7"/>
  <c r="BV55" i="7" s="1"/>
  <c r="BP55" i="7"/>
  <c r="BQ55" i="7"/>
  <c r="AX212" i="7"/>
  <c r="AK107" i="7"/>
  <c r="BD82" i="7"/>
  <c r="BH82" i="7"/>
  <c r="BE82" i="7"/>
  <c r="BC82" i="7"/>
  <c r="AX213" i="7"/>
  <c r="AI111" i="7"/>
  <c r="AF109" i="7"/>
  <c r="AE109" i="7"/>
  <c r="AG109" i="7"/>
  <c r="AJ109" i="7"/>
  <c r="AB56" i="7"/>
  <c r="AA57" i="7"/>
  <c r="X56" i="7"/>
  <c r="Y56" i="7"/>
  <c r="W56" i="7"/>
  <c r="BG83" i="7"/>
  <c r="AX214" i="7"/>
  <c r="AH110" i="7"/>
  <c r="BF267" i="7"/>
  <c r="BF265" i="7"/>
  <c r="BF268" i="7"/>
  <c r="AP160" i="7"/>
  <c r="AP165" i="7"/>
  <c r="BF266" i="7"/>
  <c r="BF264" i="7"/>
  <c r="BS56" i="7"/>
  <c r="Z56" i="7"/>
  <c r="AH111" i="7"/>
  <c r="G113" i="7"/>
  <c r="CA113" i="7" s="1"/>
  <c r="H163" i="7"/>
  <c r="CI163" i="7" s="1"/>
  <c r="G112" i="7"/>
  <c r="CA112" i="7" s="1"/>
  <c r="J272" i="7"/>
  <c r="CY272" i="7" s="1"/>
  <c r="J273" i="7"/>
  <c r="CY273" i="7" s="1"/>
  <c r="J270" i="7"/>
  <c r="CY270" i="7" s="1"/>
  <c r="J271" i="7"/>
  <c r="CY271" i="7" s="1"/>
  <c r="J269" i="7"/>
  <c r="CY269" i="7" s="1"/>
  <c r="H167" i="7"/>
  <c r="CI167" i="7" s="1"/>
  <c r="I219" i="7"/>
  <c r="CQ219" i="7" s="1"/>
  <c r="I217" i="7"/>
  <c r="CQ217" i="7" s="1"/>
  <c r="H168" i="7"/>
  <c r="CI168" i="7" s="1"/>
  <c r="I216" i="7"/>
  <c r="CQ216" i="7" s="1"/>
  <c r="I218" i="7"/>
  <c r="CQ218" i="7" s="1"/>
  <c r="F57" i="7"/>
  <c r="L56" i="7"/>
  <c r="BA80" i="7" l="1"/>
  <c r="AU81" i="7"/>
  <c r="AV81" i="7"/>
  <c r="AW81" i="7"/>
  <c r="BA81" i="7" s="1"/>
  <c r="AY82" i="7"/>
  <c r="AU82" i="7" s="1"/>
  <c r="DB77" i="7"/>
  <c r="CT81" i="7"/>
  <c r="CL83" i="7"/>
  <c r="CZ80" i="7"/>
  <c r="CZ81" i="7" s="1"/>
  <c r="CW79" i="7"/>
  <c r="CX79" i="7"/>
  <c r="DA79" i="7"/>
  <c r="CV79" i="7"/>
  <c r="BY90" i="7"/>
  <c r="BX90" i="7"/>
  <c r="CT82" i="7"/>
  <c r="CV78" i="7"/>
  <c r="DA78" i="7"/>
  <c r="CX78" i="7"/>
  <c r="CW78" i="7"/>
  <c r="BR57" i="7"/>
  <c r="BT58" i="7"/>
  <c r="CB91" i="7"/>
  <c r="CB92" i="7" s="1"/>
  <c r="AS72" i="7"/>
  <c r="CH85" i="7"/>
  <c r="CJ86" i="7"/>
  <c r="CG85" i="7"/>
  <c r="CF85" i="7"/>
  <c r="CK85" i="7"/>
  <c r="CL84" i="7"/>
  <c r="CT83" i="7"/>
  <c r="CR86" i="7"/>
  <c r="CR87" i="7" s="1"/>
  <c r="CS85" i="7"/>
  <c r="CN85" i="7"/>
  <c r="CO85" i="7"/>
  <c r="CP85" i="7"/>
  <c r="AC56" i="7"/>
  <c r="CD80" i="7"/>
  <c r="CN84" i="7"/>
  <c r="CO84" i="7"/>
  <c r="CP84" i="7"/>
  <c r="CS84" i="7"/>
  <c r="AR73" i="7"/>
  <c r="AO73" i="7"/>
  <c r="AN73" i="7"/>
  <c r="AM73" i="7"/>
  <c r="AQ74" i="7"/>
  <c r="BZ81" i="7"/>
  <c r="CC81" i="7"/>
  <c r="AK109" i="7"/>
  <c r="AG110" i="7"/>
  <c r="AJ110" i="7"/>
  <c r="AI112" i="7"/>
  <c r="AE110" i="7"/>
  <c r="AF110" i="7"/>
  <c r="BU56" i="7"/>
  <c r="BV56" i="7" s="1"/>
  <c r="BQ56" i="7"/>
  <c r="BP56" i="7"/>
  <c r="BD83" i="7"/>
  <c r="BC83" i="7"/>
  <c r="BH83" i="7"/>
  <c r="BE83" i="7"/>
  <c r="AK108" i="7"/>
  <c r="AG111" i="7"/>
  <c r="AF111" i="7"/>
  <c r="AE111" i="7"/>
  <c r="AJ111" i="7"/>
  <c r="AI113" i="7"/>
  <c r="AX219" i="7"/>
  <c r="BF269" i="7"/>
  <c r="BF271" i="7"/>
  <c r="BG84" i="7"/>
  <c r="AX217" i="7"/>
  <c r="BF270" i="7"/>
  <c r="Y57" i="7"/>
  <c r="X57" i="7"/>
  <c r="AA58" i="7"/>
  <c r="AB57" i="7"/>
  <c r="W57" i="7"/>
  <c r="BI82" i="7"/>
  <c r="AP168" i="7"/>
  <c r="BF272" i="7"/>
  <c r="AH112" i="7"/>
  <c r="AX218" i="7"/>
  <c r="AP163" i="7"/>
  <c r="AP167" i="7"/>
  <c r="BF273" i="7"/>
  <c r="BS57" i="7"/>
  <c r="Z57" i="7"/>
  <c r="AX216" i="7"/>
  <c r="AH113" i="7"/>
  <c r="G114" i="7"/>
  <c r="CA114" i="7" s="1"/>
  <c r="H166" i="7"/>
  <c r="CI166" i="7" s="1"/>
  <c r="G115" i="7"/>
  <c r="CA115" i="7" s="1"/>
  <c r="J278" i="7"/>
  <c r="CY278" i="7" s="1"/>
  <c r="J274" i="7"/>
  <c r="CY274" i="7" s="1"/>
  <c r="J275" i="7"/>
  <c r="CY275" i="7" s="1"/>
  <c r="J277" i="7"/>
  <c r="CY277" i="7" s="1"/>
  <c r="J276" i="7"/>
  <c r="CY276" i="7" s="1"/>
  <c r="I223" i="7"/>
  <c r="CQ223" i="7" s="1"/>
  <c r="I220" i="7"/>
  <c r="CQ220" i="7" s="1"/>
  <c r="I221" i="7"/>
  <c r="CQ221" i="7" s="1"/>
  <c r="I222" i="7"/>
  <c r="CQ222" i="7" s="1"/>
  <c r="H171" i="7"/>
  <c r="CI171" i="7" s="1"/>
  <c r="H170" i="7"/>
  <c r="CI170" i="7" s="1"/>
  <c r="F58" i="7"/>
  <c r="L57" i="7"/>
  <c r="AY83" i="7" l="1"/>
  <c r="AY84" i="7" s="1"/>
  <c r="AZ84" i="7" s="1"/>
  <c r="AZ82" i="7"/>
  <c r="AW82" i="7"/>
  <c r="AV82" i="7"/>
  <c r="DB79" i="7"/>
  <c r="CV80" i="7"/>
  <c r="DA80" i="7"/>
  <c r="CX80" i="7"/>
  <c r="CW80" i="7"/>
  <c r="CV81" i="7"/>
  <c r="CW81" i="7"/>
  <c r="DA81" i="7"/>
  <c r="CX81" i="7"/>
  <c r="CZ82" i="7"/>
  <c r="DA82" i="7" s="1"/>
  <c r="DB78" i="7"/>
  <c r="BX92" i="7"/>
  <c r="BY92" i="7"/>
  <c r="CB93" i="7"/>
  <c r="BX93" i="7" s="1"/>
  <c r="BX91" i="7"/>
  <c r="BY91" i="7"/>
  <c r="BT59" i="7"/>
  <c r="BR58" i="7"/>
  <c r="CL85" i="7"/>
  <c r="CG86" i="7"/>
  <c r="CH86" i="7"/>
  <c r="CK86" i="7"/>
  <c r="CF86" i="7"/>
  <c r="CJ87" i="7"/>
  <c r="CP87" i="7"/>
  <c r="CS87" i="7"/>
  <c r="CN87" i="7"/>
  <c r="CO87" i="7"/>
  <c r="BI83" i="7"/>
  <c r="AS73" i="7"/>
  <c r="CR88" i="7"/>
  <c r="CT84" i="7"/>
  <c r="AK111" i="7"/>
  <c r="CT85" i="7"/>
  <c r="CP86" i="7"/>
  <c r="CO86" i="7"/>
  <c r="CS86" i="7"/>
  <c r="CN86" i="7"/>
  <c r="AR74" i="7"/>
  <c r="AO74" i="7"/>
  <c r="AN74" i="7"/>
  <c r="AM74" i="7"/>
  <c r="AQ75" i="7"/>
  <c r="BZ82" i="7"/>
  <c r="CC82" i="7"/>
  <c r="CD81" i="7"/>
  <c r="AK110" i="7"/>
  <c r="BH84" i="7"/>
  <c r="BC84" i="7"/>
  <c r="BE84" i="7"/>
  <c r="BD84" i="7"/>
  <c r="BG85" i="7"/>
  <c r="AE112" i="7"/>
  <c r="AI114" i="7"/>
  <c r="AJ112" i="7"/>
  <c r="AG112" i="7"/>
  <c r="AF112" i="7"/>
  <c r="AP170" i="7"/>
  <c r="AX221" i="7"/>
  <c r="AH114" i="7"/>
  <c r="AA59" i="7"/>
  <c r="W58" i="7"/>
  <c r="Y58" i="7"/>
  <c r="X58" i="7"/>
  <c r="AB58" i="7"/>
  <c r="AP166" i="7"/>
  <c r="AX220" i="7"/>
  <c r="AC57" i="7"/>
  <c r="AX223" i="7"/>
  <c r="AX222" i="7"/>
  <c r="AI115" i="7"/>
  <c r="AF113" i="7"/>
  <c r="AJ113" i="7"/>
  <c r="AE113" i="7"/>
  <c r="AG113" i="7"/>
  <c r="BS58" i="7"/>
  <c r="Z58" i="7"/>
  <c r="AH115" i="7"/>
  <c r="AP171" i="7"/>
  <c r="BF276" i="7"/>
  <c r="BF277" i="7"/>
  <c r="BF275" i="7"/>
  <c r="BF274" i="7"/>
  <c r="BQ57" i="7"/>
  <c r="BU57" i="7"/>
  <c r="BV57" i="7" s="1"/>
  <c r="BP57" i="7"/>
  <c r="BF278" i="7"/>
  <c r="G117" i="7"/>
  <c r="CA117" i="7" s="1"/>
  <c r="H169" i="7"/>
  <c r="CI169" i="7" s="1"/>
  <c r="G116" i="7"/>
  <c r="CA116" i="7" s="1"/>
  <c r="H173" i="7"/>
  <c r="CI173" i="7" s="1"/>
  <c r="I226" i="7"/>
  <c r="CQ226" i="7" s="1"/>
  <c r="I224" i="7"/>
  <c r="CQ224" i="7" s="1"/>
  <c r="H174" i="7"/>
  <c r="CI174" i="7" s="1"/>
  <c r="I225" i="7"/>
  <c r="CQ225" i="7" s="1"/>
  <c r="I227" i="7"/>
  <c r="CQ227" i="7" s="1"/>
  <c r="F59" i="7"/>
  <c r="L58" i="7"/>
  <c r="CB94" i="7" l="1"/>
  <c r="BX94" i="7" s="1"/>
  <c r="AU83" i="7"/>
  <c r="AV83" i="7"/>
  <c r="AW83" i="7"/>
  <c r="AZ83" i="7"/>
  <c r="BA83" i="7" s="1"/>
  <c r="BA82" i="7"/>
  <c r="AY85" i="7"/>
  <c r="AY86" i="7" s="1"/>
  <c r="AY87" i="7" s="1"/>
  <c r="AV84" i="7"/>
  <c r="AU84" i="7"/>
  <c r="AW84" i="7"/>
  <c r="BA84" i="7" s="1"/>
  <c r="DB80" i="7"/>
  <c r="DB81" i="7"/>
  <c r="CW82" i="7"/>
  <c r="CX82" i="7"/>
  <c r="DB82" i="7" s="1"/>
  <c r="CZ83" i="7"/>
  <c r="DA83" i="7" s="1"/>
  <c r="BY93" i="7"/>
  <c r="CV82" i="7"/>
  <c r="BT60" i="7"/>
  <c r="BR59" i="7"/>
  <c r="CL86" i="7"/>
  <c r="CT87" i="7"/>
  <c r="CT86" i="7"/>
  <c r="CF87" i="7"/>
  <c r="CH87" i="7"/>
  <c r="CK87" i="7"/>
  <c r="CG87" i="7"/>
  <c r="CJ88" i="7"/>
  <c r="CN88" i="7"/>
  <c r="CO88" i="7"/>
  <c r="CP88" i="7"/>
  <c r="CS88" i="7"/>
  <c r="AS74" i="7"/>
  <c r="BI84" i="7"/>
  <c r="CD82" i="7"/>
  <c r="CR89" i="7"/>
  <c r="AR75" i="7"/>
  <c r="AO75" i="7"/>
  <c r="AN75" i="7"/>
  <c r="AM75" i="7"/>
  <c r="AQ76" i="7"/>
  <c r="BZ83" i="7"/>
  <c r="CC83" i="7"/>
  <c r="AK112" i="7"/>
  <c r="AC58" i="7"/>
  <c r="AP174" i="7"/>
  <c r="AF115" i="7"/>
  <c r="AG115" i="7"/>
  <c r="AJ115" i="7"/>
  <c r="AI117" i="7"/>
  <c r="AE115" i="7"/>
  <c r="AK113" i="7"/>
  <c r="BD85" i="7"/>
  <c r="BE85" i="7"/>
  <c r="BH85" i="7"/>
  <c r="BC85" i="7"/>
  <c r="BG86" i="7"/>
  <c r="BG87" i="7" s="1"/>
  <c r="AX227" i="7"/>
  <c r="AX225" i="7"/>
  <c r="AJ114" i="7"/>
  <c r="AF114" i="7"/>
  <c r="AI116" i="7"/>
  <c r="AG114" i="7"/>
  <c r="AE114" i="7"/>
  <c r="AP173" i="7"/>
  <c r="X59" i="7"/>
  <c r="AA60" i="7"/>
  <c r="AB59" i="7"/>
  <c r="Y59" i="7"/>
  <c r="W59" i="7"/>
  <c r="AX226" i="7"/>
  <c r="AH116" i="7"/>
  <c r="AP169" i="7"/>
  <c r="BS59" i="7"/>
  <c r="Z59" i="7"/>
  <c r="AH117" i="7"/>
  <c r="BU58" i="7"/>
  <c r="BV58" i="7" s="1"/>
  <c r="BP58" i="7"/>
  <c r="BQ58" i="7"/>
  <c r="AX224" i="7"/>
  <c r="G118" i="7"/>
  <c r="CA118" i="7" s="1"/>
  <c r="H172" i="7"/>
  <c r="CI172" i="7" s="1"/>
  <c r="G119" i="7"/>
  <c r="CA119" i="7" s="1"/>
  <c r="I230" i="7"/>
  <c r="CQ230" i="7" s="1"/>
  <c r="I229" i="7"/>
  <c r="CQ229" i="7" s="1"/>
  <c r="I231" i="7"/>
  <c r="CQ231" i="7" s="1"/>
  <c r="H177" i="7"/>
  <c r="CI177" i="7" s="1"/>
  <c r="I228" i="7"/>
  <c r="CQ228" i="7" s="1"/>
  <c r="H176" i="7"/>
  <c r="CI176" i="7" s="1"/>
  <c r="F60" i="7"/>
  <c r="L59" i="7"/>
  <c r="CB95" i="7" l="1"/>
  <c r="BY95" i="7" s="1"/>
  <c r="BY94" i="7"/>
  <c r="AZ85" i="7"/>
  <c r="AW85" i="7"/>
  <c r="AU85" i="7"/>
  <c r="AV85" i="7"/>
  <c r="CW83" i="7"/>
  <c r="CT88" i="7"/>
  <c r="CX83" i="7"/>
  <c r="DB83" i="7" s="1"/>
  <c r="CZ84" i="7"/>
  <c r="CZ85" i="7" s="1"/>
  <c r="CZ86" i="7" s="1"/>
  <c r="CV83" i="7"/>
  <c r="CL87" i="7"/>
  <c r="BT61" i="7"/>
  <c r="BR60" i="7"/>
  <c r="CK88" i="7"/>
  <c r="CF88" i="7"/>
  <c r="CH88" i="7"/>
  <c r="CG88" i="7"/>
  <c r="CJ89" i="7"/>
  <c r="CD83" i="7"/>
  <c r="CS89" i="7"/>
  <c r="CN89" i="7"/>
  <c r="CO89" i="7"/>
  <c r="CP89" i="7"/>
  <c r="CR90" i="7"/>
  <c r="AS75" i="7"/>
  <c r="AR76" i="7"/>
  <c r="AO76" i="7"/>
  <c r="AN76" i="7"/>
  <c r="AM76" i="7"/>
  <c r="AQ77" i="7"/>
  <c r="BZ84" i="7"/>
  <c r="CC84" i="7"/>
  <c r="AK114" i="7"/>
  <c r="BS60" i="7"/>
  <c r="Z60" i="7"/>
  <c r="BI85" i="7"/>
  <c r="AC59" i="7"/>
  <c r="AP177" i="7"/>
  <c r="AB60" i="7"/>
  <c r="AA61" i="7"/>
  <c r="Y60" i="7"/>
  <c r="X60" i="7"/>
  <c r="W60" i="7"/>
  <c r="AX231" i="7"/>
  <c r="AZ87" i="7"/>
  <c r="AV87" i="7"/>
  <c r="AW87" i="7"/>
  <c r="AU87" i="7"/>
  <c r="AI119" i="7"/>
  <c r="AG117" i="7"/>
  <c r="AF117" i="7"/>
  <c r="AE117" i="7"/>
  <c r="AJ117" i="7"/>
  <c r="AP176" i="7"/>
  <c r="BD87" i="7"/>
  <c r="BC87" i="7"/>
  <c r="BH87" i="7"/>
  <c r="BE87" i="7"/>
  <c r="AX228" i="7"/>
  <c r="AZ86" i="7"/>
  <c r="AW86" i="7"/>
  <c r="AU86" i="7"/>
  <c r="AV86" i="7"/>
  <c r="AK115" i="7"/>
  <c r="AX230" i="7"/>
  <c r="AP172" i="7"/>
  <c r="BU59" i="7"/>
  <c r="BV59" i="7" s="1"/>
  <c r="BP59" i="7"/>
  <c r="BQ59" i="7"/>
  <c r="AH119" i="7"/>
  <c r="AH118" i="7"/>
  <c r="AX229" i="7"/>
  <c r="BG88" i="7"/>
  <c r="BD86" i="7"/>
  <c r="BE86" i="7"/>
  <c r="BC86" i="7"/>
  <c r="BH86" i="7"/>
  <c r="AY88" i="7"/>
  <c r="AG116" i="7"/>
  <c r="AF116" i="7"/>
  <c r="AE116" i="7"/>
  <c r="AI118" i="7"/>
  <c r="AJ116" i="7"/>
  <c r="H175" i="7"/>
  <c r="CI175" i="7" s="1"/>
  <c r="G120" i="7"/>
  <c r="CA120" i="7" s="1"/>
  <c r="G121" i="7"/>
  <c r="CA121" i="7" s="1"/>
  <c r="I232" i="7"/>
  <c r="CQ232" i="7" s="1"/>
  <c r="I235" i="7"/>
  <c r="CQ235" i="7" s="1"/>
  <c r="H179" i="7"/>
  <c r="CI179" i="7" s="1"/>
  <c r="I234" i="7"/>
  <c r="CQ234" i="7" s="1"/>
  <c r="H180" i="7"/>
  <c r="CI180" i="7" s="1"/>
  <c r="I233" i="7"/>
  <c r="CQ233" i="7" s="1"/>
  <c r="F61" i="7"/>
  <c r="L60" i="7"/>
  <c r="CB96" i="7" l="1"/>
  <c r="CB97" i="7" s="1"/>
  <c r="BX95" i="7"/>
  <c r="BA85" i="7"/>
  <c r="CX84" i="7"/>
  <c r="CV84" i="7"/>
  <c r="DA84" i="7"/>
  <c r="CW84" i="7"/>
  <c r="CZ87" i="7"/>
  <c r="CV86" i="7"/>
  <c r="DA86" i="7"/>
  <c r="CW86" i="7"/>
  <c r="CX86" i="7"/>
  <c r="BR61" i="7"/>
  <c r="BT62" i="7"/>
  <c r="DA85" i="7"/>
  <c r="CV85" i="7"/>
  <c r="CX85" i="7"/>
  <c r="CW85" i="7"/>
  <c r="CK89" i="7"/>
  <c r="CG89" i="7"/>
  <c r="CF89" i="7"/>
  <c r="CH89" i="7"/>
  <c r="BI87" i="7"/>
  <c r="BA87" i="7"/>
  <c r="CT89" i="7"/>
  <c r="CL88" i="7"/>
  <c r="BI86" i="7"/>
  <c r="CJ90" i="7"/>
  <c r="CD84" i="7"/>
  <c r="AK117" i="7"/>
  <c r="CN90" i="7"/>
  <c r="CO90" i="7"/>
  <c r="CP90" i="7"/>
  <c r="CS90" i="7"/>
  <c r="CR91" i="7"/>
  <c r="BX96" i="7"/>
  <c r="BY96" i="7"/>
  <c r="AK116" i="7"/>
  <c r="AS76" i="7"/>
  <c r="AR77" i="7"/>
  <c r="AO77" i="7"/>
  <c r="AN77" i="7"/>
  <c r="AM77" i="7"/>
  <c r="AQ78" i="7"/>
  <c r="BZ85" i="7"/>
  <c r="CC85" i="7"/>
  <c r="BA86" i="7"/>
  <c r="AZ88" i="7"/>
  <c r="AV88" i="7"/>
  <c r="AU88" i="7"/>
  <c r="AW88" i="7"/>
  <c r="AY89" i="7"/>
  <c r="BG89" i="7"/>
  <c r="AX232" i="7"/>
  <c r="AH121" i="7"/>
  <c r="AH120" i="7"/>
  <c r="AP175" i="7"/>
  <c r="BQ60" i="7"/>
  <c r="BU60" i="7"/>
  <c r="BV60" i="7" s="1"/>
  <c r="BP60" i="7"/>
  <c r="BS61" i="7"/>
  <c r="Z61" i="7"/>
  <c r="AX233" i="7"/>
  <c r="AI121" i="7"/>
  <c r="AG119" i="7"/>
  <c r="AE119" i="7"/>
  <c r="AJ119" i="7"/>
  <c r="AF119" i="7"/>
  <c r="W61" i="7"/>
  <c r="AB61" i="7"/>
  <c r="Y61" i="7"/>
  <c r="AA62" i="7"/>
  <c r="X61" i="7"/>
  <c r="BE88" i="7"/>
  <c r="BD88" i="7"/>
  <c r="BC88" i="7"/>
  <c r="BH88" i="7"/>
  <c r="AX234" i="7"/>
  <c r="AP180" i="7"/>
  <c r="AE118" i="7"/>
  <c r="AI120" i="7"/>
  <c r="AG118" i="7"/>
  <c r="AJ118" i="7"/>
  <c r="AF118" i="7"/>
  <c r="AP179" i="7"/>
  <c r="AC60" i="7"/>
  <c r="AX235" i="7"/>
  <c r="H178" i="7"/>
  <c r="CI178" i="7" s="1"/>
  <c r="G123" i="7"/>
  <c r="CA123" i="7" s="1"/>
  <c r="G122" i="7"/>
  <c r="CA122" i="7" s="1"/>
  <c r="I238" i="7"/>
  <c r="CQ238" i="7" s="1"/>
  <c r="I239" i="7"/>
  <c r="CQ239" i="7" s="1"/>
  <c r="H183" i="7"/>
  <c r="CI183" i="7" s="1"/>
  <c r="I237" i="7"/>
  <c r="CQ237" i="7" s="1"/>
  <c r="H182" i="7"/>
  <c r="CI182" i="7" s="1"/>
  <c r="I236" i="7"/>
  <c r="CQ236" i="7" s="1"/>
  <c r="F62" i="7"/>
  <c r="L61" i="7"/>
  <c r="DB84" i="7" l="1"/>
  <c r="DB86" i="7"/>
  <c r="DB85" i="7"/>
  <c r="BR62" i="7"/>
  <c r="BT63" i="7"/>
  <c r="CT90" i="7"/>
  <c r="CZ88" i="7"/>
  <c r="DA87" i="7"/>
  <c r="CX87" i="7"/>
  <c r="CV87" i="7"/>
  <c r="CW87" i="7"/>
  <c r="CJ91" i="7"/>
  <c r="CJ92" i="7" s="1"/>
  <c r="CG90" i="7"/>
  <c r="CH90" i="7"/>
  <c r="CF90" i="7"/>
  <c r="CK90" i="7"/>
  <c r="AK118" i="7"/>
  <c r="CL89" i="7"/>
  <c r="CD85" i="7"/>
  <c r="BI88" i="7"/>
  <c r="BA88" i="7"/>
  <c r="AS77" i="7"/>
  <c r="BY97" i="7"/>
  <c r="BX97" i="7"/>
  <c r="CR92" i="7"/>
  <c r="CN91" i="7"/>
  <c r="CO91" i="7"/>
  <c r="CP91" i="7"/>
  <c r="CS91" i="7"/>
  <c r="AR78" i="7"/>
  <c r="AO78" i="7"/>
  <c r="AN78" i="7"/>
  <c r="AM78" i="7"/>
  <c r="AQ79" i="7"/>
  <c r="CB98" i="7"/>
  <c r="BZ86" i="7"/>
  <c r="CC86" i="7"/>
  <c r="AK119" i="7"/>
  <c r="AC61" i="7"/>
  <c r="AA63" i="7"/>
  <c r="X62" i="7"/>
  <c r="W62" i="7"/>
  <c r="Y62" i="7"/>
  <c r="AB62" i="7"/>
  <c r="BU61" i="7"/>
  <c r="BV61" i="7" s="1"/>
  <c r="BP61" i="7"/>
  <c r="BQ61" i="7"/>
  <c r="BS62" i="7"/>
  <c r="Z62" i="7"/>
  <c r="AX236" i="7"/>
  <c r="AG120" i="7"/>
  <c r="AI122" i="7"/>
  <c r="AJ120" i="7"/>
  <c r="AF120" i="7"/>
  <c r="AE120" i="7"/>
  <c r="AX237" i="7"/>
  <c r="AX239" i="7"/>
  <c r="AP182" i="7"/>
  <c r="AP183" i="7"/>
  <c r="AX238" i="7"/>
  <c r="AH122" i="7"/>
  <c r="AF121" i="7"/>
  <c r="AJ121" i="7"/>
  <c r="AE121" i="7"/>
  <c r="AI123" i="7"/>
  <c r="AG121" i="7"/>
  <c r="BG90" i="7"/>
  <c r="BH89" i="7"/>
  <c r="BC89" i="7"/>
  <c r="BD89" i="7"/>
  <c r="BE89" i="7"/>
  <c r="AH123" i="7"/>
  <c r="AP178" i="7"/>
  <c r="AU89" i="7"/>
  <c r="AZ89" i="7"/>
  <c r="AV89" i="7"/>
  <c r="AW89" i="7"/>
  <c r="AY90" i="7"/>
  <c r="G125" i="7"/>
  <c r="CA125" i="7" s="1"/>
  <c r="G124" i="7"/>
  <c r="CA124" i="7" s="1"/>
  <c r="H181" i="7"/>
  <c r="CI181" i="7" s="1"/>
  <c r="H185" i="7"/>
  <c r="CI185" i="7" s="1"/>
  <c r="H186" i="7"/>
  <c r="CI186" i="7" s="1"/>
  <c r="I242" i="7"/>
  <c r="CQ242" i="7" s="1"/>
  <c r="I241" i="7"/>
  <c r="CQ241" i="7" s="1"/>
  <c r="I243" i="7"/>
  <c r="CQ243" i="7" s="1"/>
  <c r="I240" i="7"/>
  <c r="CQ240" i="7" s="1"/>
  <c r="F63" i="7"/>
  <c r="L62" i="7"/>
  <c r="DB87" i="7" l="1"/>
  <c r="CL90" i="7"/>
  <c r="CD86" i="7"/>
  <c r="CX88" i="7"/>
  <c r="DA88" i="7"/>
  <c r="CV88" i="7"/>
  <c r="CW88" i="7"/>
  <c r="CZ89" i="7"/>
  <c r="CZ90" i="7" s="1"/>
  <c r="BT64" i="7"/>
  <c r="BR63" i="7"/>
  <c r="AK120" i="7"/>
  <c r="CT91" i="7"/>
  <c r="CF92" i="7"/>
  <c r="CK92" i="7"/>
  <c r="CH92" i="7"/>
  <c r="CG92" i="7"/>
  <c r="CJ93" i="7"/>
  <c r="CH91" i="7"/>
  <c r="CK91" i="7"/>
  <c r="CF91" i="7"/>
  <c r="CG91" i="7"/>
  <c r="AS78" i="7"/>
  <c r="BI89" i="7"/>
  <c r="BY98" i="7"/>
  <c r="BX98" i="7"/>
  <c r="CO92" i="7"/>
  <c r="CP92" i="7"/>
  <c r="CS92" i="7"/>
  <c r="CN92" i="7"/>
  <c r="CR93" i="7"/>
  <c r="AR79" i="7"/>
  <c r="AO79" i="7"/>
  <c r="AN79" i="7"/>
  <c r="AM79" i="7"/>
  <c r="AQ80" i="7"/>
  <c r="CB99" i="7"/>
  <c r="CC87" i="7"/>
  <c r="BZ87" i="7"/>
  <c r="BA89" i="7"/>
  <c r="AK121" i="7"/>
  <c r="AP181" i="7"/>
  <c r="BU62" i="7"/>
  <c r="BV62" i="7" s="1"/>
  <c r="BQ62" i="7"/>
  <c r="BP62" i="7"/>
  <c r="AE123" i="7"/>
  <c r="AI125" i="7"/>
  <c r="AJ123" i="7"/>
  <c r="AG123" i="7"/>
  <c r="AF123" i="7"/>
  <c r="AH125" i="7"/>
  <c r="AH124" i="7"/>
  <c r="AF122" i="7"/>
  <c r="AI124" i="7"/>
  <c r="AG122" i="7"/>
  <c r="AE122" i="7"/>
  <c r="AJ122" i="7"/>
  <c r="AX240" i="7"/>
  <c r="AX241" i="7"/>
  <c r="AZ90" i="7"/>
  <c r="AV90" i="7"/>
  <c r="AW90" i="7"/>
  <c r="AU90" i="7"/>
  <c r="AY91" i="7"/>
  <c r="BS63" i="7"/>
  <c r="Z63" i="7"/>
  <c r="AX243" i="7"/>
  <c r="AX242" i="7"/>
  <c r="AP186" i="7"/>
  <c r="AP185" i="7"/>
  <c r="AC62" i="7"/>
  <c r="X63" i="7"/>
  <c r="W63" i="7"/>
  <c r="AB63" i="7"/>
  <c r="Y63" i="7"/>
  <c r="AA64" i="7"/>
  <c r="BD90" i="7"/>
  <c r="BH90" i="7"/>
  <c r="BC90" i="7"/>
  <c r="BE90" i="7"/>
  <c r="BG91" i="7"/>
  <c r="G126" i="7"/>
  <c r="CA126" i="7" s="1"/>
  <c r="H184" i="7"/>
  <c r="CI184" i="7" s="1"/>
  <c r="G127" i="7"/>
  <c r="CA127" i="7" s="1"/>
  <c r="I244" i="7"/>
  <c r="CQ244" i="7" s="1"/>
  <c r="H189" i="7"/>
  <c r="CI189" i="7" s="1"/>
  <c r="I245" i="7"/>
  <c r="CQ245" i="7" s="1"/>
  <c r="I247" i="7"/>
  <c r="CQ247" i="7" s="1"/>
  <c r="I246" i="7"/>
  <c r="CQ246" i="7" s="1"/>
  <c r="H188" i="7"/>
  <c r="CI188" i="7" s="1"/>
  <c r="F64" i="7"/>
  <c r="L63" i="7"/>
  <c r="DB88" i="7" l="1"/>
  <c r="CV90" i="7"/>
  <c r="CW90" i="7"/>
  <c r="CX90" i="7"/>
  <c r="DA90" i="7"/>
  <c r="BR64" i="7"/>
  <c r="BT65" i="7"/>
  <c r="CW89" i="7"/>
  <c r="CV89" i="7"/>
  <c r="CX89" i="7"/>
  <c r="DA89" i="7"/>
  <c r="CZ91" i="7"/>
  <c r="CL91" i="7"/>
  <c r="CL92" i="7"/>
  <c r="BA90" i="7"/>
  <c r="CJ94" i="7"/>
  <c r="CJ95" i="7" s="1"/>
  <c r="CG93" i="7"/>
  <c r="CF93" i="7"/>
  <c r="CH93" i="7"/>
  <c r="CK93" i="7"/>
  <c r="AS79" i="7"/>
  <c r="CT92" i="7"/>
  <c r="BY99" i="7"/>
  <c r="BX99" i="7"/>
  <c r="CR94" i="7"/>
  <c r="CN93" i="7"/>
  <c r="CO93" i="7"/>
  <c r="CP93" i="7"/>
  <c r="CS93" i="7"/>
  <c r="AR80" i="7"/>
  <c r="AO80" i="7"/>
  <c r="AN80" i="7"/>
  <c r="AM80" i="7"/>
  <c r="AQ81" i="7"/>
  <c r="CB100" i="7"/>
  <c r="CC88" i="7"/>
  <c r="BZ88" i="7"/>
  <c r="CD87" i="7"/>
  <c r="AK123" i="7"/>
  <c r="BI90" i="7"/>
  <c r="AX244" i="7"/>
  <c r="AP184" i="7"/>
  <c r="AJ125" i="7"/>
  <c r="AF125" i="7"/>
  <c r="AG125" i="7"/>
  <c r="AI127" i="7"/>
  <c r="AE125" i="7"/>
  <c r="W64" i="7"/>
  <c r="AA65" i="7"/>
  <c r="X64" i="7"/>
  <c r="AB64" i="7"/>
  <c r="Y64" i="7"/>
  <c r="AH127" i="7"/>
  <c r="BS64" i="7"/>
  <c r="Z64" i="7"/>
  <c r="AC63" i="7"/>
  <c r="BU63" i="7"/>
  <c r="BV63" i="7" s="1"/>
  <c r="BP63" i="7"/>
  <c r="BQ63" i="7"/>
  <c r="AP188" i="7"/>
  <c r="AH126" i="7"/>
  <c r="BH91" i="7"/>
  <c r="BD91" i="7"/>
  <c r="BE91" i="7"/>
  <c r="BC91" i="7"/>
  <c r="AY92" i="7"/>
  <c r="AW91" i="7"/>
  <c r="AU91" i="7"/>
  <c r="AZ91" i="7"/>
  <c r="AV91" i="7"/>
  <c r="AX246" i="7"/>
  <c r="AX247" i="7"/>
  <c r="BG92" i="7"/>
  <c r="AK122" i="7"/>
  <c r="AX245" i="7"/>
  <c r="AJ124" i="7"/>
  <c r="AG124" i="7"/>
  <c r="AI126" i="7"/>
  <c r="AF124" i="7"/>
  <c r="AE124" i="7"/>
  <c r="AP189" i="7"/>
  <c r="G128" i="7"/>
  <c r="CA128" i="7" s="1"/>
  <c r="G129" i="7"/>
  <c r="CA129" i="7" s="1"/>
  <c r="H187" i="7"/>
  <c r="CI187" i="7" s="1"/>
  <c r="I250" i="7"/>
  <c r="CQ250" i="7" s="1"/>
  <c r="H192" i="7"/>
  <c r="CI192" i="7" s="1"/>
  <c r="H191" i="7"/>
  <c r="CI191" i="7" s="1"/>
  <c r="I251" i="7"/>
  <c r="CQ251" i="7" s="1"/>
  <c r="I249" i="7"/>
  <c r="CQ249" i="7" s="1"/>
  <c r="I248" i="7"/>
  <c r="CQ248" i="7" s="1"/>
  <c r="F65" i="7"/>
  <c r="L64" i="7"/>
  <c r="DB90" i="7" l="1"/>
  <c r="DB89" i="7"/>
  <c r="BR65" i="7"/>
  <c r="BT66" i="7"/>
  <c r="CZ92" i="7"/>
  <c r="CX91" i="7"/>
  <c r="DA91" i="7"/>
  <c r="CW91" i="7"/>
  <c r="CV91" i="7"/>
  <c r="CL93" i="7"/>
  <c r="CT93" i="7"/>
  <c r="CG95" i="7"/>
  <c r="CH95" i="7"/>
  <c r="CK95" i="7"/>
  <c r="CF95" i="7"/>
  <c r="CJ96" i="7"/>
  <c r="CG94" i="7"/>
  <c r="CH94" i="7"/>
  <c r="CK94" i="7"/>
  <c r="CF94" i="7"/>
  <c r="BY100" i="7"/>
  <c r="BX100" i="7"/>
  <c r="CR95" i="7"/>
  <c r="AK125" i="7"/>
  <c r="AS80" i="7"/>
  <c r="CP94" i="7"/>
  <c r="CS94" i="7"/>
  <c r="CN94" i="7"/>
  <c r="CO94" i="7"/>
  <c r="AR81" i="7"/>
  <c r="AO81" i="7"/>
  <c r="AN81" i="7"/>
  <c r="AM81" i="7"/>
  <c r="AQ82" i="7"/>
  <c r="CD88" i="7"/>
  <c r="CB101" i="7"/>
  <c r="BZ89" i="7"/>
  <c r="CC89" i="7"/>
  <c r="BA91" i="7"/>
  <c r="AZ92" i="7"/>
  <c r="AV92" i="7"/>
  <c r="AU92" i="7"/>
  <c r="AW92" i="7"/>
  <c r="AY93" i="7"/>
  <c r="BE92" i="7"/>
  <c r="BC92" i="7"/>
  <c r="BH92" i="7"/>
  <c r="BI92" i="7" s="1"/>
  <c r="BD92" i="7"/>
  <c r="BU64" i="7"/>
  <c r="BV64" i="7" s="1"/>
  <c r="BQ64" i="7"/>
  <c r="BP64" i="7"/>
  <c r="AA66" i="7"/>
  <c r="Y65" i="7"/>
  <c r="X65" i="7"/>
  <c r="W65" i="7"/>
  <c r="AB65" i="7"/>
  <c r="AX250" i="7"/>
  <c r="AP191" i="7"/>
  <c r="AP192" i="7"/>
  <c r="AP187" i="7"/>
  <c r="AH129" i="7"/>
  <c r="AX251" i="7"/>
  <c r="BI91" i="7"/>
  <c r="AC64" i="7"/>
  <c r="AF126" i="7"/>
  <c r="AE126" i="7"/>
  <c r="AG126" i="7"/>
  <c r="AJ126" i="7"/>
  <c r="AI128" i="7"/>
  <c r="AK124" i="7"/>
  <c r="AH128" i="7"/>
  <c r="Z65" i="7"/>
  <c r="BS65" i="7"/>
  <c r="AE127" i="7"/>
  <c r="AF127" i="7"/>
  <c r="AJ127" i="7"/>
  <c r="AI129" i="7"/>
  <c r="AG127" i="7"/>
  <c r="AX248" i="7"/>
  <c r="AX249" i="7"/>
  <c r="BG93" i="7"/>
  <c r="G130" i="7"/>
  <c r="CA130" i="7" s="1"/>
  <c r="H190" i="7"/>
  <c r="CI190" i="7" s="1"/>
  <c r="G131" i="7"/>
  <c r="CA131" i="7" s="1"/>
  <c r="I254" i="7"/>
  <c r="CQ254" i="7" s="1"/>
  <c r="I255" i="7"/>
  <c r="CQ255" i="7" s="1"/>
  <c r="I253" i="7"/>
  <c r="CQ253" i="7" s="1"/>
  <c r="H194" i="7"/>
  <c r="CI194" i="7" s="1"/>
  <c r="I252" i="7"/>
  <c r="CQ252" i="7" s="1"/>
  <c r="H195" i="7"/>
  <c r="CI195" i="7" s="1"/>
  <c r="F66" i="7"/>
  <c r="L65" i="7"/>
  <c r="DB91" i="7" l="1"/>
  <c r="CL94" i="7"/>
  <c r="CL95" i="7"/>
  <c r="DA92" i="7"/>
  <c r="CV92" i="7"/>
  <c r="CW92" i="7"/>
  <c r="CX92" i="7"/>
  <c r="BT67" i="7"/>
  <c r="BR66" i="7"/>
  <c r="CZ93" i="7"/>
  <c r="CJ97" i="7"/>
  <c r="CJ98" i="7" s="1"/>
  <c r="CG96" i="7"/>
  <c r="CH96" i="7"/>
  <c r="CK96" i="7"/>
  <c r="CF96" i="7"/>
  <c r="CD89" i="7"/>
  <c r="BY101" i="7"/>
  <c r="BX101" i="7"/>
  <c r="CR96" i="7"/>
  <c r="CN95" i="7"/>
  <c r="CO95" i="7"/>
  <c r="CP95" i="7"/>
  <c r="CS95" i="7"/>
  <c r="CT94" i="7"/>
  <c r="AS81" i="7"/>
  <c r="AR82" i="7"/>
  <c r="AO82" i="7"/>
  <c r="AN82" i="7"/>
  <c r="AM82" i="7"/>
  <c r="AQ83" i="7"/>
  <c r="CB102" i="7"/>
  <c r="CC90" i="7"/>
  <c r="BZ90" i="7"/>
  <c r="AK127" i="7"/>
  <c r="AP195" i="7"/>
  <c r="AX252" i="7"/>
  <c r="AI131" i="7"/>
  <c r="AG129" i="7"/>
  <c r="AE129" i="7"/>
  <c r="AF129" i="7"/>
  <c r="AJ129" i="7"/>
  <c r="BQ65" i="7"/>
  <c r="BP65" i="7"/>
  <c r="BU65" i="7"/>
  <c r="BV65" i="7" s="1"/>
  <c r="AX255" i="7"/>
  <c r="AX254" i="7"/>
  <c r="BA92" i="7"/>
  <c r="AH131" i="7"/>
  <c r="AJ128" i="7"/>
  <c r="AI130" i="7"/>
  <c r="AG128" i="7"/>
  <c r="AF128" i="7"/>
  <c r="AE128" i="7"/>
  <c r="AC65" i="7"/>
  <c r="BD93" i="7"/>
  <c r="BE93" i="7"/>
  <c r="BH93" i="7"/>
  <c r="BC93" i="7"/>
  <c r="AK126" i="7"/>
  <c r="AP194" i="7"/>
  <c r="AX253" i="7"/>
  <c r="AP190" i="7"/>
  <c r="AH130" i="7"/>
  <c r="AA67" i="7"/>
  <c r="Y66" i="7"/>
  <c r="X66" i="7"/>
  <c r="W66" i="7"/>
  <c r="AB66" i="7"/>
  <c r="BS66" i="7"/>
  <c r="Z66" i="7"/>
  <c r="AW93" i="7"/>
  <c r="AV93" i="7"/>
  <c r="AU93" i="7"/>
  <c r="AZ93" i="7"/>
  <c r="AY94" i="7"/>
  <c r="BG94" i="7"/>
  <c r="G133" i="7"/>
  <c r="CA133" i="7" s="1"/>
  <c r="G132" i="7"/>
  <c r="CA132" i="7" s="1"/>
  <c r="H193" i="7"/>
  <c r="CI193" i="7" s="1"/>
  <c r="I258" i="7"/>
  <c r="CQ258" i="7" s="1"/>
  <c r="I259" i="7"/>
  <c r="CQ259" i="7" s="1"/>
  <c r="I256" i="7"/>
  <c r="CQ256" i="7" s="1"/>
  <c r="I257" i="7"/>
  <c r="CQ257" i="7" s="1"/>
  <c r="H198" i="7"/>
  <c r="CI198" i="7" s="1"/>
  <c r="H197" i="7"/>
  <c r="CI197" i="7" s="1"/>
  <c r="F67" i="7"/>
  <c r="L66" i="7"/>
  <c r="DB92" i="7" l="1"/>
  <c r="CL96" i="7"/>
  <c r="CV93" i="7"/>
  <c r="CW93" i="7"/>
  <c r="CX93" i="7"/>
  <c r="DA93" i="7"/>
  <c r="CZ94" i="7"/>
  <c r="CZ95" i="7" s="1"/>
  <c r="BT68" i="7"/>
  <c r="BR67" i="7"/>
  <c r="CD90" i="7"/>
  <c r="CG98" i="7"/>
  <c r="CH98" i="7"/>
  <c r="CF98" i="7"/>
  <c r="CK98" i="7"/>
  <c r="CJ99" i="7"/>
  <c r="CH97" i="7"/>
  <c r="CF97" i="7"/>
  <c r="CK97" i="7"/>
  <c r="CG97" i="7"/>
  <c r="CO96" i="7"/>
  <c r="CP96" i="7"/>
  <c r="CN96" i="7"/>
  <c r="CS96" i="7"/>
  <c r="BY102" i="7"/>
  <c r="BX102" i="7"/>
  <c r="AK128" i="7"/>
  <c r="CR97" i="7"/>
  <c r="AS82" i="7"/>
  <c r="CT95" i="7"/>
  <c r="AR83" i="7"/>
  <c r="AO83" i="7"/>
  <c r="AN83" i="7"/>
  <c r="AM83" i="7"/>
  <c r="AQ84" i="7"/>
  <c r="CB103" i="7"/>
  <c r="CC91" i="7"/>
  <c r="BZ91" i="7"/>
  <c r="BA93" i="7"/>
  <c r="BU66" i="7"/>
  <c r="BV66" i="7" s="1"/>
  <c r="BQ66" i="7"/>
  <c r="BP66" i="7"/>
  <c r="BS67" i="7"/>
  <c r="Z67" i="7"/>
  <c r="AJ130" i="7"/>
  <c r="AG130" i="7"/>
  <c r="AI132" i="7"/>
  <c r="AF130" i="7"/>
  <c r="AE130" i="7"/>
  <c r="AP198" i="7"/>
  <c r="AH133" i="7"/>
  <c r="AP197" i="7"/>
  <c r="AX257" i="7"/>
  <c r="AE131" i="7"/>
  <c r="AJ131" i="7"/>
  <c r="AG131" i="7"/>
  <c r="AI133" i="7"/>
  <c r="AF131" i="7"/>
  <c r="BE94" i="7"/>
  <c r="BC94" i="7"/>
  <c r="BH94" i="7"/>
  <c r="BD94" i="7"/>
  <c r="AB67" i="7"/>
  <c r="Y67" i="7"/>
  <c r="AA68" i="7"/>
  <c r="X67" i="7"/>
  <c r="W67" i="7"/>
  <c r="AK129" i="7"/>
  <c r="AX259" i="7"/>
  <c r="AX258" i="7"/>
  <c r="AC66" i="7"/>
  <c r="BG95" i="7"/>
  <c r="BG96" i="7" s="1"/>
  <c r="AH132" i="7"/>
  <c r="AX256" i="7"/>
  <c r="AW94" i="7"/>
  <c r="AU94" i="7"/>
  <c r="AZ94" i="7"/>
  <c r="AV94" i="7"/>
  <c r="AY95" i="7"/>
  <c r="AY96" i="7" s="1"/>
  <c r="AY97" i="7" s="1"/>
  <c r="AP193" i="7"/>
  <c r="BI93" i="7"/>
  <c r="G134" i="7"/>
  <c r="CA134" i="7" s="1"/>
  <c r="H196" i="7"/>
  <c r="CI196" i="7" s="1"/>
  <c r="G135" i="7"/>
  <c r="CA135" i="7" s="1"/>
  <c r="I263" i="7"/>
  <c r="CQ263" i="7" s="1"/>
  <c r="I262" i="7"/>
  <c r="CQ262" i="7" s="1"/>
  <c r="I261" i="7"/>
  <c r="CQ261" i="7" s="1"/>
  <c r="I260" i="7"/>
  <c r="CQ260" i="7" s="1"/>
  <c r="H201" i="7"/>
  <c r="CI201" i="7" s="1"/>
  <c r="H200" i="7"/>
  <c r="CI200" i="7" s="1"/>
  <c r="F68" i="7"/>
  <c r="L67" i="7"/>
  <c r="CT96" i="7" l="1"/>
  <c r="DB93" i="7"/>
  <c r="CL98" i="7"/>
  <c r="CV95" i="7"/>
  <c r="CW95" i="7"/>
  <c r="CX95" i="7"/>
  <c r="DA95" i="7"/>
  <c r="CL97" i="7"/>
  <c r="BR68" i="7"/>
  <c r="BT69" i="7"/>
  <c r="CW94" i="7"/>
  <c r="DA94" i="7"/>
  <c r="CX94" i="7"/>
  <c r="CV94" i="7"/>
  <c r="CZ96" i="7"/>
  <c r="BA94" i="7"/>
  <c r="AS83" i="7"/>
  <c r="AK131" i="7"/>
  <c r="CJ100" i="7"/>
  <c r="CJ101" i="7" s="1"/>
  <c r="CH99" i="7"/>
  <c r="CG99" i="7"/>
  <c r="CF99" i="7"/>
  <c r="CK99" i="7"/>
  <c r="AK130" i="7"/>
  <c r="CR98" i="7"/>
  <c r="CR99" i="7" s="1"/>
  <c r="CS97" i="7"/>
  <c r="CO97" i="7"/>
  <c r="CN97" i="7"/>
  <c r="CP97" i="7"/>
  <c r="BX103" i="7"/>
  <c r="BY103" i="7"/>
  <c r="BI94" i="7"/>
  <c r="CD91" i="7"/>
  <c r="AR84" i="7"/>
  <c r="AO84" i="7"/>
  <c r="AN84" i="7"/>
  <c r="AM84" i="7"/>
  <c r="AQ85" i="7"/>
  <c r="CB104" i="7"/>
  <c r="BZ92" i="7"/>
  <c r="CC92" i="7"/>
  <c r="AY98" i="7"/>
  <c r="AY99" i="7" s="1"/>
  <c r="AU97" i="7"/>
  <c r="AZ97" i="7"/>
  <c r="AV97" i="7"/>
  <c r="AW97" i="7"/>
  <c r="BC96" i="7"/>
  <c r="BH96" i="7"/>
  <c r="BE96" i="7"/>
  <c r="BD96" i="7"/>
  <c r="BG97" i="7"/>
  <c r="AH135" i="7"/>
  <c r="BQ67" i="7"/>
  <c r="BU67" i="7"/>
  <c r="BV67" i="7" s="1"/>
  <c r="BP67" i="7"/>
  <c r="AG133" i="7"/>
  <c r="AJ133" i="7"/>
  <c r="AE133" i="7"/>
  <c r="AF133" i="7"/>
  <c r="AI135" i="7"/>
  <c r="AP196" i="7"/>
  <c r="AX263" i="7"/>
  <c r="AB68" i="7"/>
  <c r="AA69" i="7"/>
  <c r="Y68" i="7"/>
  <c r="X68" i="7"/>
  <c r="W68" i="7"/>
  <c r="AJ132" i="7"/>
  <c r="AI134" i="7"/>
  <c r="AG132" i="7"/>
  <c r="AF132" i="7"/>
  <c r="AE132" i="7"/>
  <c r="AC67" i="7"/>
  <c r="AZ96" i="7"/>
  <c r="AW96" i="7"/>
  <c r="AU96" i="7"/>
  <c r="AV96" i="7"/>
  <c r="BD95" i="7"/>
  <c r="BC95" i="7"/>
  <c r="BE95" i="7"/>
  <c r="BH95" i="7"/>
  <c r="AH134" i="7"/>
  <c r="BS68" i="7"/>
  <c r="Z68" i="7"/>
  <c r="AP200" i="7"/>
  <c r="AP201" i="7"/>
  <c r="AX260" i="7"/>
  <c r="AX261" i="7"/>
  <c r="AZ95" i="7"/>
  <c r="AW95" i="7"/>
  <c r="AV95" i="7"/>
  <c r="AU95" i="7"/>
  <c r="AX262" i="7"/>
  <c r="G136" i="7"/>
  <c r="CA136" i="7" s="1"/>
  <c r="G137" i="7"/>
  <c r="CA137" i="7" s="1"/>
  <c r="H199" i="7"/>
  <c r="CI199" i="7" s="1"/>
  <c r="I264" i="7"/>
  <c r="CQ264" i="7" s="1"/>
  <c r="I267" i="7"/>
  <c r="CQ267" i="7" s="1"/>
  <c r="I266" i="7"/>
  <c r="CQ266" i="7" s="1"/>
  <c r="I265" i="7"/>
  <c r="CQ265" i="7" s="1"/>
  <c r="H204" i="7"/>
  <c r="CI204" i="7" s="1"/>
  <c r="H203" i="7"/>
  <c r="CI203" i="7" s="1"/>
  <c r="F69" i="7"/>
  <c r="L68" i="7"/>
  <c r="DB95" i="7" l="1"/>
  <c r="CD92" i="7"/>
  <c r="DB94" i="7"/>
  <c r="BT70" i="7"/>
  <c r="BR69" i="7"/>
  <c r="DA96" i="7"/>
  <c r="CW96" i="7"/>
  <c r="CV96" i="7"/>
  <c r="CX96" i="7"/>
  <c r="CZ97" i="7"/>
  <c r="BI95" i="7"/>
  <c r="CJ102" i="7"/>
  <c r="CJ103" i="7" s="1"/>
  <c r="CJ104" i="7" s="1"/>
  <c r="CH101" i="7"/>
  <c r="CF101" i="7"/>
  <c r="CG101" i="7"/>
  <c r="CK101" i="7"/>
  <c r="CL99" i="7"/>
  <c r="CK100" i="7"/>
  <c r="CH100" i="7"/>
  <c r="CG100" i="7"/>
  <c r="CF100" i="7"/>
  <c r="AS84" i="7"/>
  <c r="CT97" i="7"/>
  <c r="CS98" i="7"/>
  <c r="CO98" i="7"/>
  <c r="CP98" i="7"/>
  <c r="CN98" i="7"/>
  <c r="CR100" i="7"/>
  <c r="CP99" i="7"/>
  <c r="CN99" i="7"/>
  <c r="CS99" i="7"/>
  <c r="CO99" i="7"/>
  <c r="BX104" i="7"/>
  <c r="BY104" i="7"/>
  <c r="BA96" i="7"/>
  <c r="AR85" i="7"/>
  <c r="AO85" i="7"/>
  <c r="AN85" i="7"/>
  <c r="AM85" i="7"/>
  <c r="AQ86" i="7"/>
  <c r="CB105" i="7"/>
  <c r="BZ93" i="7"/>
  <c r="CC93" i="7"/>
  <c r="AK132" i="7"/>
  <c r="AK133" i="7"/>
  <c r="BA95" i="7"/>
  <c r="AC68" i="7"/>
  <c r="BI96" i="7"/>
  <c r="BA97" i="7"/>
  <c r="AH137" i="7"/>
  <c r="AH136" i="7"/>
  <c r="AP203" i="7"/>
  <c r="AW99" i="7"/>
  <c r="AU99" i="7"/>
  <c r="AV99" i="7"/>
  <c r="AZ99" i="7"/>
  <c r="BS69" i="7"/>
  <c r="Z69" i="7"/>
  <c r="AF135" i="7"/>
  <c r="AE135" i="7"/>
  <c r="AJ135" i="7"/>
  <c r="AI137" i="7"/>
  <c r="AG135" i="7"/>
  <c r="AF134" i="7"/>
  <c r="AG134" i="7"/>
  <c r="AI136" i="7"/>
  <c r="AE134" i="7"/>
  <c r="AJ134" i="7"/>
  <c r="AX265" i="7"/>
  <c r="AP199" i="7"/>
  <c r="AP204" i="7"/>
  <c r="AX266" i="7"/>
  <c r="AY100" i="7"/>
  <c r="AX267" i="7"/>
  <c r="BC97" i="7"/>
  <c r="BD97" i="7"/>
  <c r="BH97" i="7"/>
  <c r="BE97" i="7"/>
  <c r="AX264" i="7"/>
  <c r="BG98" i="7"/>
  <c r="W69" i="7"/>
  <c r="AB69" i="7"/>
  <c r="AA70" i="7"/>
  <c r="Y69" i="7"/>
  <c r="X69" i="7"/>
  <c r="BQ68" i="7"/>
  <c r="BU68" i="7"/>
  <c r="BV68" i="7" s="1"/>
  <c r="BP68" i="7"/>
  <c r="AZ98" i="7"/>
  <c r="AW98" i="7"/>
  <c r="AU98" i="7"/>
  <c r="AV98" i="7"/>
  <c r="G139" i="7"/>
  <c r="CA139" i="7" s="1"/>
  <c r="G138" i="7"/>
  <c r="CA138" i="7" s="1"/>
  <c r="H202" i="7"/>
  <c r="CI202" i="7" s="1"/>
  <c r="I270" i="7"/>
  <c r="CQ270" i="7" s="1"/>
  <c r="I271" i="7"/>
  <c r="CQ271" i="7" s="1"/>
  <c r="I269" i="7"/>
  <c r="CQ269" i="7" s="1"/>
  <c r="I268" i="7"/>
  <c r="CQ268" i="7" s="1"/>
  <c r="H206" i="7"/>
  <c r="CI206" i="7" s="1"/>
  <c r="H207" i="7"/>
  <c r="CI207" i="7" s="1"/>
  <c r="F70" i="7"/>
  <c r="L69" i="7"/>
  <c r="DB96" i="7" l="1"/>
  <c r="BA98" i="7"/>
  <c r="CL101" i="7"/>
  <c r="CV97" i="7"/>
  <c r="CW97" i="7"/>
  <c r="CX97" i="7"/>
  <c r="DA97" i="7"/>
  <c r="BR70" i="7"/>
  <c r="BT71" i="7"/>
  <c r="CZ98" i="7"/>
  <c r="CL100" i="7"/>
  <c r="CK104" i="7"/>
  <c r="CF104" i="7"/>
  <c r="CG104" i="7"/>
  <c r="CH104" i="7"/>
  <c r="CT98" i="7"/>
  <c r="CG103" i="7"/>
  <c r="CK103" i="7"/>
  <c r="CH103" i="7"/>
  <c r="CF103" i="7"/>
  <c r="CK102" i="7"/>
  <c r="CF102" i="7"/>
  <c r="CH102" i="7"/>
  <c r="CG102" i="7"/>
  <c r="CJ105" i="7"/>
  <c r="CT99" i="7"/>
  <c r="CD93" i="7"/>
  <c r="BA99" i="7"/>
  <c r="CN100" i="7"/>
  <c r="CS100" i="7"/>
  <c r="CO100" i="7"/>
  <c r="CP100" i="7"/>
  <c r="BI97" i="7"/>
  <c r="AS85" i="7"/>
  <c r="BX105" i="7"/>
  <c r="BY105" i="7"/>
  <c r="AK135" i="7"/>
  <c r="CR101" i="7"/>
  <c r="AR86" i="7"/>
  <c r="AO86" i="7"/>
  <c r="AN86" i="7"/>
  <c r="AM86" i="7"/>
  <c r="AQ87" i="7"/>
  <c r="CB106" i="7"/>
  <c r="BZ95" i="7"/>
  <c r="CC95" i="7"/>
  <c r="CC94" i="7"/>
  <c r="BZ94" i="7"/>
  <c r="AK134" i="7"/>
  <c r="AC69" i="7"/>
  <c r="AB70" i="7"/>
  <c r="Y70" i="7"/>
  <c r="AA71" i="7"/>
  <c r="W70" i="7"/>
  <c r="X70" i="7"/>
  <c r="AI138" i="7"/>
  <c r="AF136" i="7"/>
  <c r="AG136" i="7"/>
  <c r="AJ136" i="7"/>
  <c r="AE136" i="7"/>
  <c r="AZ100" i="7"/>
  <c r="AV100" i="7"/>
  <c r="AW100" i="7"/>
  <c r="AU100" i="7"/>
  <c r="AP206" i="7"/>
  <c r="BH98" i="7"/>
  <c r="BE98" i="7"/>
  <c r="BC98" i="7"/>
  <c r="BD98" i="7"/>
  <c r="BS70" i="7"/>
  <c r="Z70" i="7"/>
  <c r="AX271" i="7"/>
  <c r="AX270" i="7"/>
  <c r="BQ69" i="7"/>
  <c r="BU69" i="7"/>
  <c r="BV69" i="7" s="1"/>
  <c r="BP69" i="7"/>
  <c r="AX268" i="7"/>
  <c r="AX269" i="7"/>
  <c r="AP202" i="7"/>
  <c r="AH138" i="7"/>
  <c r="AG137" i="7"/>
  <c r="AE137" i="7"/>
  <c r="AJ137" i="7"/>
  <c r="AI139" i="7"/>
  <c r="AF137" i="7"/>
  <c r="AP207" i="7"/>
  <c r="AH139" i="7"/>
  <c r="BG99" i="7"/>
  <c r="AY101" i="7"/>
  <c r="H205" i="7"/>
  <c r="CI205" i="7" s="1"/>
  <c r="G140" i="7"/>
  <c r="CA140" i="7" s="1"/>
  <c r="G141" i="7"/>
  <c r="CA141" i="7" s="1"/>
  <c r="I272" i="7"/>
  <c r="CQ272" i="7" s="1"/>
  <c r="I273" i="7"/>
  <c r="CQ273" i="7" s="1"/>
  <c r="I274" i="7"/>
  <c r="CQ274" i="7" s="1"/>
  <c r="I275" i="7"/>
  <c r="CQ275" i="7" s="1"/>
  <c r="H209" i="7"/>
  <c r="CI209" i="7" s="1"/>
  <c r="H210" i="7"/>
  <c r="CI210" i="7" s="1"/>
  <c r="F71" i="7"/>
  <c r="L70" i="7"/>
  <c r="DB97" i="7" l="1"/>
  <c r="CL102" i="7"/>
  <c r="CL104" i="7"/>
  <c r="DA98" i="7"/>
  <c r="CW98" i="7"/>
  <c r="CX98" i="7"/>
  <c r="CV98" i="7"/>
  <c r="CZ99" i="7"/>
  <c r="CZ100" i="7" s="1"/>
  <c r="BR71" i="7"/>
  <c r="BT72" i="7"/>
  <c r="CL103" i="7"/>
  <c r="CD95" i="7"/>
  <c r="AK136" i="7"/>
  <c r="CJ106" i="7"/>
  <c r="CG105" i="7"/>
  <c r="CK105" i="7"/>
  <c r="CH105" i="7"/>
  <c r="CF105" i="7"/>
  <c r="BA100" i="7"/>
  <c r="AC70" i="7"/>
  <c r="BX106" i="7"/>
  <c r="BY106" i="7"/>
  <c r="BI98" i="7"/>
  <c r="CT100" i="7"/>
  <c r="AS86" i="7"/>
  <c r="CS101" i="7"/>
  <c r="CO101" i="7"/>
  <c r="CN101" i="7"/>
  <c r="CP101" i="7"/>
  <c r="CR102" i="7"/>
  <c r="AR87" i="7"/>
  <c r="AO87" i="7"/>
  <c r="AN87" i="7"/>
  <c r="AM87" i="7"/>
  <c r="AQ88" i="7"/>
  <c r="CD94" i="7"/>
  <c r="CB107" i="7"/>
  <c r="CC97" i="7"/>
  <c r="BZ97" i="7"/>
  <c r="CC96" i="7"/>
  <c r="BZ96" i="7"/>
  <c r="AK137" i="7"/>
  <c r="AP205" i="7"/>
  <c r="BS71" i="7"/>
  <c r="Z71" i="7"/>
  <c r="AW101" i="7"/>
  <c r="AU101" i="7"/>
  <c r="AV101" i="7"/>
  <c r="AZ101" i="7"/>
  <c r="AY102" i="7"/>
  <c r="AY103" i="7" s="1"/>
  <c r="AY104" i="7" s="1"/>
  <c r="AP209" i="7"/>
  <c r="BQ70" i="7"/>
  <c r="BU70" i="7"/>
  <c r="BV70" i="7" s="1"/>
  <c r="BP70" i="7"/>
  <c r="BD99" i="7"/>
  <c r="BE99" i="7"/>
  <c r="BH99" i="7"/>
  <c r="BC99" i="7"/>
  <c r="W71" i="7"/>
  <c r="AB71" i="7"/>
  <c r="Y71" i="7"/>
  <c r="AA72" i="7"/>
  <c r="X71" i="7"/>
  <c r="AJ138" i="7"/>
  <c r="AI140" i="7"/>
  <c r="AF138" i="7"/>
  <c r="AE138" i="7"/>
  <c r="AG138" i="7"/>
  <c r="AX274" i="7"/>
  <c r="AX273" i="7"/>
  <c r="AX272" i="7"/>
  <c r="AG139" i="7"/>
  <c r="AE139" i="7"/>
  <c r="AJ139" i="7"/>
  <c r="AI141" i="7"/>
  <c r="AF139" i="7"/>
  <c r="AP210" i="7"/>
  <c r="AX275" i="7"/>
  <c r="AH141" i="7"/>
  <c r="BG100" i="7"/>
  <c r="AH140" i="7"/>
  <c r="H208" i="7"/>
  <c r="CI208" i="7" s="1"/>
  <c r="G143" i="7"/>
  <c r="CA143" i="7" s="1"/>
  <c r="G142" i="7"/>
  <c r="CA142" i="7" s="1"/>
  <c r="I277" i="7"/>
  <c r="CQ277" i="7" s="1"/>
  <c r="I278" i="7"/>
  <c r="CQ278" i="7" s="1"/>
  <c r="I276" i="7"/>
  <c r="CQ276" i="7" s="1"/>
  <c r="H212" i="7"/>
  <c r="CI212" i="7" s="1"/>
  <c r="H213" i="7"/>
  <c r="CI213" i="7" s="1"/>
  <c r="F72" i="7"/>
  <c r="L71" i="7"/>
  <c r="DB98" i="7" l="1"/>
  <c r="AK139" i="7"/>
  <c r="BA101" i="7"/>
  <c r="CV100" i="7"/>
  <c r="CW100" i="7"/>
  <c r="DA100" i="7"/>
  <c r="CX100" i="7"/>
  <c r="CZ101" i="7"/>
  <c r="CZ102" i="7" s="1"/>
  <c r="BT73" i="7"/>
  <c r="BR72" i="7"/>
  <c r="DA99" i="7"/>
  <c r="CV99" i="7"/>
  <c r="CX99" i="7"/>
  <c r="CW99" i="7"/>
  <c r="CL105" i="7"/>
  <c r="CD97" i="7"/>
  <c r="CT101" i="7"/>
  <c r="CG106" i="7"/>
  <c r="CF106" i="7"/>
  <c r="CH106" i="7"/>
  <c r="CK106" i="7"/>
  <c r="CJ107" i="7"/>
  <c r="BI99" i="7"/>
  <c r="AS87" i="7"/>
  <c r="CO102" i="7"/>
  <c r="CP102" i="7"/>
  <c r="CS102" i="7"/>
  <c r="CN102" i="7"/>
  <c r="CR103" i="7"/>
  <c r="BX107" i="7"/>
  <c r="BY107" i="7"/>
  <c r="CD96" i="7"/>
  <c r="AR88" i="7"/>
  <c r="AO88" i="7"/>
  <c r="AN88" i="7"/>
  <c r="AM88" i="7"/>
  <c r="AQ89" i="7"/>
  <c r="CB108" i="7"/>
  <c r="BZ99" i="7"/>
  <c r="CC99" i="7"/>
  <c r="BZ98" i="7"/>
  <c r="CC98" i="7"/>
  <c r="AZ104" i="7"/>
  <c r="AV104" i="7"/>
  <c r="AW104" i="7"/>
  <c r="AU104" i="7"/>
  <c r="AP213" i="7"/>
  <c r="Y72" i="7"/>
  <c r="AB72" i="7"/>
  <c r="X72" i="7"/>
  <c r="AA73" i="7"/>
  <c r="W72" i="7"/>
  <c r="AC71" i="7"/>
  <c r="AX276" i="7"/>
  <c r="BP71" i="7"/>
  <c r="BU71" i="7"/>
  <c r="BV71" i="7" s="1"/>
  <c r="BQ71" i="7"/>
  <c r="AX277" i="7"/>
  <c r="AH142" i="7"/>
  <c r="AV103" i="7"/>
  <c r="AZ103" i="7"/>
  <c r="AW103" i="7"/>
  <c r="AU103" i="7"/>
  <c r="AW102" i="7"/>
  <c r="AZ102" i="7"/>
  <c r="AV102" i="7"/>
  <c r="AU102" i="7"/>
  <c r="AE141" i="7"/>
  <c r="AI143" i="7"/>
  <c r="AJ141" i="7"/>
  <c r="AG141" i="7"/>
  <c r="AF141" i="7"/>
  <c r="AP208" i="7"/>
  <c r="AY105" i="7"/>
  <c r="AY106" i="7" s="1"/>
  <c r="AH143" i="7"/>
  <c r="AJ140" i="7"/>
  <c r="AG140" i="7"/>
  <c r="AF140" i="7"/>
  <c r="AI142" i="7"/>
  <c r="AE140" i="7"/>
  <c r="BG101" i="7"/>
  <c r="BG102" i="7" s="1"/>
  <c r="BG103" i="7" s="1"/>
  <c r="BC100" i="7"/>
  <c r="BE100" i="7"/>
  <c r="BD100" i="7"/>
  <c r="BH100" i="7"/>
  <c r="AK138" i="7"/>
  <c r="AP212" i="7"/>
  <c r="AX278" i="7"/>
  <c r="BS72" i="7"/>
  <c r="Z72" i="7"/>
  <c r="G144" i="7"/>
  <c r="CA144" i="7" s="1"/>
  <c r="H211" i="7"/>
  <c r="CI211" i="7" s="1"/>
  <c r="G145" i="7"/>
  <c r="CA145" i="7" s="1"/>
  <c r="H216" i="7"/>
  <c r="CI216" i="7" s="1"/>
  <c r="H215" i="7"/>
  <c r="CI215" i="7" s="1"/>
  <c r="F73" i="7"/>
  <c r="L72" i="7"/>
  <c r="DB100" i="7" l="1"/>
  <c r="CL106" i="7"/>
  <c r="DB99" i="7"/>
  <c r="CZ103" i="7"/>
  <c r="DA102" i="7"/>
  <c r="CV102" i="7"/>
  <c r="CW102" i="7"/>
  <c r="CX102" i="7"/>
  <c r="BT74" i="7"/>
  <c r="BR73" i="7"/>
  <c r="CW101" i="7"/>
  <c r="CV101" i="7"/>
  <c r="CX101" i="7"/>
  <c r="DA101" i="7"/>
  <c r="AK141" i="7"/>
  <c r="CT102" i="7"/>
  <c r="CK107" i="7"/>
  <c r="CH107" i="7"/>
  <c r="CF107" i="7"/>
  <c r="CG107" i="7"/>
  <c r="CJ108" i="7"/>
  <c r="BA103" i="7"/>
  <c r="AS88" i="7"/>
  <c r="AC72" i="7"/>
  <c r="CD98" i="7"/>
  <c r="CD99" i="7"/>
  <c r="BX108" i="7"/>
  <c r="BY108" i="7"/>
  <c r="CR104" i="7"/>
  <c r="CS103" i="7"/>
  <c r="CN103" i="7"/>
  <c r="CO103" i="7"/>
  <c r="CP103" i="7"/>
  <c r="AR89" i="7"/>
  <c r="AO89" i="7"/>
  <c r="AN89" i="7"/>
  <c r="AM89" i="7"/>
  <c r="AQ90" i="7"/>
  <c r="CB109" i="7"/>
  <c r="CC101" i="7"/>
  <c r="BZ101" i="7"/>
  <c r="BZ100" i="7"/>
  <c r="CC100" i="7"/>
  <c r="AK140" i="7"/>
  <c r="BI100" i="7"/>
  <c r="BE103" i="7"/>
  <c r="BD103" i="7"/>
  <c r="BC103" i="7"/>
  <c r="BH103" i="7"/>
  <c r="AY107" i="7"/>
  <c r="AY108" i="7" s="1"/>
  <c r="AU106" i="7"/>
  <c r="AV106" i="7"/>
  <c r="AW106" i="7"/>
  <c r="AZ106" i="7"/>
  <c r="AH144" i="7"/>
  <c r="BS73" i="7"/>
  <c r="Z73" i="7"/>
  <c r="AV105" i="7"/>
  <c r="AW105" i="7"/>
  <c r="AU105" i="7"/>
  <c r="AZ105" i="7"/>
  <c r="BA102" i="7"/>
  <c r="AP216" i="7"/>
  <c r="X73" i="7"/>
  <c r="AB73" i="7"/>
  <c r="AA74" i="7"/>
  <c r="W73" i="7"/>
  <c r="Y73" i="7"/>
  <c r="BE102" i="7"/>
  <c r="BD102" i="7"/>
  <c r="BC102" i="7"/>
  <c r="BH102" i="7"/>
  <c r="AP215" i="7"/>
  <c r="BD101" i="7"/>
  <c r="BC101" i="7"/>
  <c r="BH101" i="7"/>
  <c r="BE101" i="7"/>
  <c r="BG104" i="7"/>
  <c r="AH145" i="7"/>
  <c r="AP211" i="7"/>
  <c r="AI144" i="7"/>
  <c r="AE142" i="7"/>
  <c r="AJ142" i="7"/>
  <c r="AG142" i="7"/>
  <c r="AF142" i="7"/>
  <c r="AG143" i="7"/>
  <c r="AI145" i="7"/>
  <c r="AE143" i="7"/>
  <c r="AF143" i="7"/>
  <c r="AJ143" i="7"/>
  <c r="BQ72" i="7"/>
  <c r="BP72" i="7"/>
  <c r="BU72" i="7"/>
  <c r="BV72" i="7" s="1"/>
  <c r="BA104" i="7"/>
  <c r="G146" i="7"/>
  <c r="CA146" i="7" s="1"/>
  <c r="H214" i="7"/>
  <c r="CI214" i="7" s="1"/>
  <c r="G147" i="7"/>
  <c r="CA147" i="7" s="1"/>
  <c r="H219" i="7"/>
  <c r="CI219" i="7" s="1"/>
  <c r="H218" i="7"/>
  <c r="CI218" i="7" s="1"/>
  <c r="F74" i="7"/>
  <c r="L73" i="7"/>
  <c r="DB102" i="7" l="1"/>
  <c r="CT103" i="7"/>
  <c r="DB101" i="7"/>
  <c r="BT75" i="7"/>
  <c r="BR74" i="7"/>
  <c r="CZ104" i="7"/>
  <c r="CW103" i="7"/>
  <c r="CV103" i="7"/>
  <c r="CX103" i="7"/>
  <c r="DA103" i="7"/>
  <c r="CL107" i="7"/>
  <c r="CD100" i="7"/>
  <c r="CJ109" i="7"/>
  <c r="CF108" i="7"/>
  <c r="CG108" i="7"/>
  <c r="CH108" i="7"/>
  <c r="CK108" i="7"/>
  <c r="CD101" i="7"/>
  <c r="BI103" i="7"/>
  <c r="AS89" i="7"/>
  <c r="CN104" i="7"/>
  <c r="CO104" i="7"/>
  <c r="CP104" i="7"/>
  <c r="CS104" i="7"/>
  <c r="CR105" i="7"/>
  <c r="BY109" i="7"/>
  <c r="BX109" i="7"/>
  <c r="AR90" i="7"/>
  <c r="AO90" i="7"/>
  <c r="AN90" i="7"/>
  <c r="AM90" i="7"/>
  <c r="AQ91" i="7"/>
  <c r="CB110" i="7"/>
  <c r="CC102" i="7"/>
  <c r="BZ102" i="7"/>
  <c r="BA106" i="7"/>
  <c r="AK142" i="7"/>
  <c r="AK143" i="7"/>
  <c r="BI102" i="7"/>
  <c r="BA105" i="7"/>
  <c r="BU73" i="7"/>
  <c r="BV73" i="7" s="1"/>
  <c r="BP73" i="7"/>
  <c r="BQ73" i="7"/>
  <c r="Y74" i="7"/>
  <c r="AA75" i="7"/>
  <c r="W74" i="7"/>
  <c r="X74" i="7"/>
  <c r="AB74" i="7"/>
  <c r="AE144" i="7"/>
  <c r="AI146" i="7"/>
  <c r="AJ144" i="7"/>
  <c r="AG144" i="7"/>
  <c r="AF144" i="7"/>
  <c r="AC73" i="7"/>
  <c r="AP219" i="7"/>
  <c r="AW108" i="7"/>
  <c r="AV108" i="7"/>
  <c r="AZ108" i="7"/>
  <c r="AU108" i="7"/>
  <c r="AP214" i="7"/>
  <c r="AH146" i="7"/>
  <c r="AW107" i="7"/>
  <c r="AZ107" i="7"/>
  <c r="AV107" i="7"/>
  <c r="AU107" i="7"/>
  <c r="BS74" i="7"/>
  <c r="Z74" i="7"/>
  <c r="BG105" i="7"/>
  <c r="AE145" i="7"/>
  <c r="AJ145" i="7"/>
  <c r="AG145" i="7"/>
  <c r="AI147" i="7"/>
  <c r="AF145" i="7"/>
  <c r="AY109" i="7"/>
  <c r="AH147" i="7"/>
  <c r="BI101" i="7"/>
  <c r="AP218" i="7"/>
  <c r="BC104" i="7"/>
  <c r="BH104" i="7"/>
  <c r="BD104" i="7"/>
  <c r="BE104" i="7"/>
  <c r="H217" i="7"/>
  <c r="CI217" i="7" s="1"/>
  <c r="G149" i="7"/>
  <c r="CA149" i="7" s="1"/>
  <c r="G148" i="7"/>
  <c r="CA148" i="7" s="1"/>
  <c r="H221" i="7"/>
  <c r="CI221" i="7" s="1"/>
  <c r="H222" i="7"/>
  <c r="CI222" i="7" s="1"/>
  <c r="F75" i="7"/>
  <c r="L74" i="7"/>
  <c r="DB103" i="7" l="1"/>
  <c r="CL108" i="7"/>
  <c r="CZ105" i="7"/>
  <c r="DA104" i="7"/>
  <c r="CV104" i="7"/>
  <c r="CW104" i="7"/>
  <c r="CX104" i="7"/>
  <c r="AK144" i="7"/>
  <c r="BT76" i="7"/>
  <c r="BR75" i="7"/>
  <c r="CD102" i="7"/>
  <c r="CT104" i="7"/>
  <c r="CH109" i="7"/>
  <c r="CK109" i="7"/>
  <c r="CF109" i="7"/>
  <c r="CG109" i="7"/>
  <c r="CJ110" i="7"/>
  <c r="AS90" i="7"/>
  <c r="BA108" i="7"/>
  <c r="BY110" i="7"/>
  <c r="BX110" i="7"/>
  <c r="BA107" i="7"/>
  <c r="CR106" i="7"/>
  <c r="CO105" i="7"/>
  <c r="CP105" i="7"/>
  <c r="CN105" i="7"/>
  <c r="CS105" i="7"/>
  <c r="AR91" i="7"/>
  <c r="AO91" i="7"/>
  <c r="AN91" i="7"/>
  <c r="AM91" i="7"/>
  <c r="AQ92" i="7"/>
  <c r="CB111" i="7"/>
  <c r="CC103" i="7"/>
  <c r="BZ103" i="7"/>
  <c r="AK145" i="7"/>
  <c r="AP217" i="7"/>
  <c r="AC74" i="7"/>
  <c r="BE105" i="7"/>
  <c r="BH105" i="7"/>
  <c r="BD105" i="7"/>
  <c r="BC105" i="7"/>
  <c r="Y75" i="7"/>
  <c r="AB75" i="7"/>
  <c r="X75" i="7"/>
  <c r="AA76" i="7"/>
  <c r="W75" i="7"/>
  <c r="AP222" i="7"/>
  <c r="AP221" i="7"/>
  <c r="BP74" i="7"/>
  <c r="BU74" i="7"/>
  <c r="BV74" i="7" s="1"/>
  <c r="BQ74" i="7"/>
  <c r="BS75" i="7"/>
  <c r="Z75" i="7"/>
  <c r="AH148" i="7"/>
  <c r="AW109" i="7"/>
  <c r="AU109" i="7"/>
  <c r="AZ109" i="7"/>
  <c r="AV109" i="7"/>
  <c r="AH149" i="7"/>
  <c r="AF147" i="7"/>
  <c r="AE147" i="7"/>
  <c r="AJ147" i="7"/>
  <c r="AI149" i="7"/>
  <c r="AG147" i="7"/>
  <c r="AI148" i="7"/>
  <c r="AG146" i="7"/>
  <c r="AF146" i="7"/>
  <c r="AE146" i="7"/>
  <c r="AJ146" i="7"/>
  <c r="AY110" i="7"/>
  <c r="BI104" i="7"/>
  <c r="BG106" i="7"/>
  <c r="BG107" i="7" s="1"/>
  <c r="G150" i="7"/>
  <c r="CA150" i="7" s="1"/>
  <c r="H220" i="7"/>
  <c r="CI220" i="7" s="1"/>
  <c r="G151" i="7"/>
  <c r="CA151" i="7" s="1"/>
  <c r="H224" i="7"/>
  <c r="CI224" i="7" s="1"/>
  <c r="H225" i="7"/>
  <c r="CI225" i="7" s="1"/>
  <c r="F76" i="7"/>
  <c r="L75" i="7"/>
  <c r="DB104" i="7" l="1"/>
  <c r="CT105" i="7"/>
  <c r="CL109" i="7"/>
  <c r="BR76" i="7"/>
  <c r="BT77" i="7"/>
  <c r="DA105" i="7"/>
  <c r="CV105" i="7"/>
  <c r="CX105" i="7"/>
  <c r="CW105" i="7"/>
  <c r="CZ106" i="7"/>
  <c r="AS91" i="7"/>
  <c r="BA109" i="7"/>
  <c r="CK110" i="7"/>
  <c r="CG110" i="7"/>
  <c r="CF110" i="7"/>
  <c r="CH110" i="7"/>
  <c r="CJ111" i="7"/>
  <c r="CJ112" i="7" s="1"/>
  <c r="CD103" i="7"/>
  <c r="CO106" i="7"/>
  <c r="CS106" i="7"/>
  <c r="CN106" i="7"/>
  <c r="CP106" i="7"/>
  <c r="BY111" i="7"/>
  <c r="BX111" i="7"/>
  <c r="CR107" i="7"/>
  <c r="AC75" i="7"/>
  <c r="AR92" i="7"/>
  <c r="AO92" i="7"/>
  <c r="AN92" i="7"/>
  <c r="AM92" i="7"/>
  <c r="AQ93" i="7"/>
  <c r="CB112" i="7"/>
  <c r="CC104" i="7"/>
  <c r="BZ104" i="7"/>
  <c r="AK147" i="7"/>
  <c r="AK146" i="7"/>
  <c r="BI105" i="7"/>
  <c r="BS76" i="7"/>
  <c r="Z76" i="7"/>
  <c r="AP224" i="7"/>
  <c r="AP220" i="7"/>
  <c r="X76" i="7"/>
  <c r="AA77" i="7"/>
  <c r="AB76" i="7"/>
  <c r="Y76" i="7"/>
  <c r="W76" i="7"/>
  <c r="AH151" i="7"/>
  <c r="AW110" i="7"/>
  <c r="AV110" i="7"/>
  <c r="AZ110" i="7"/>
  <c r="AU110" i="7"/>
  <c r="AH150" i="7"/>
  <c r="BQ75" i="7"/>
  <c r="BU75" i="7"/>
  <c r="BV75" i="7" s="1"/>
  <c r="BP75" i="7"/>
  <c r="AI150" i="7"/>
  <c r="AG148" i="7"/>
  <c r="AF148" i="7"/>
  <c r="AE148" i="7"/>
  <c r="AJ148" i="7"/>
  <c r="BH107" i="7"/>
  <c r="BD107" i="7"/>
  <c r="BE107" i="7"/>
  <c r="BC107" i="7"/>
  <c r="BG108" i="7"/>
  <c r="AP225" i="7"/>
  <c r="AE149" i="7"/>
  <c r="AG149" i="7"/>
  <c r="AJ149" i="7"/>
  <c r="AI151" i="7"/>
  <c r="AF149" i="7"/>
  <c r="BC106" i="7"/>
  <c r="BH106" i="7"/>
  <c r="BE106" i="7"/>
  <c r="BD106" i="7"/>
  <c r="AY111" i="7"/>
  <c r="G152" i="7"/>
  <c r="CA152" i="7" s="1"/>
  <c r="G153" i="7"/>
  <c r="CA153" i="7" s="1"/>
  <c r="H223" i="7"/>
  <c r="CI223" i="7" s="1"/>
  <c r="H228" i="7"/>
  <c r="CI228" i="7" s="1"/>
  <c r="H227" i="7"/>
  <c r="CI227" i="7" s="1"/>
  <c r="F77" i="7"/>
  <c r="L76" i="7"/>
  <c r="DB105" i="7" l="1"/>
  <c r="CL110" i="7"/>
  <c r="CW106" i="7"/>
  <c r="CX106" i="7"/>
  <c r="DA106" i="7"/>
  <c r="CV106" i="7"/>
  <c r="CZ107" i="7"/>
  <c r="BT78" i="7"/>
  <c r="BR77" i="7"/>
  <c r="CK112" i="7"/>
  <c r="CG112" i="7"/>
  <c r="CF112" i="7"/>
  <c r="CH112" i="7"/>
  <c r="BI107" i="7"/>
  <c r="CH111" i="7"/>
  <c r="CK111" i="7"/>
  <c r="CG111" i="7"/>
  <c r="CF111" i="7"/>
  <c r="CJ113" i="7"/>
  <c r="CJ114" i="7" s="1"/>
  <c r="CD104" i="7"/>
  <c r="CT106" i="7"/>
  <c r="BY112" i="7"/>
  <c r="BX112" i="7"/>
  <c r="AS92" i="7"/>
  <c r="CR108" i="7"/>
  <c r="CS107" i="7"/>
  <c r="CN107" i="7"/>
  <c r="CO107" i="7"/>
  <c r="CP107" i="7"/>
  <c r="AR93" i="7"/>
  <c r="AO93" i="7"/>
  <c r="AN93" i="7"/>
  <c r="AM93" i="7"/>
  <c r="AQ94" i="7"/>
  <c r="CB113" i="7"/>
  <c r="CC105" i="7"/>
  <c r="BZ105" i="7"/>
  <c r="AC76" i="7"/>
  <c r="AK149" i="7"/>
  <c r="AH152" i="7"/>
  <c r="BP76" i="7"/>
  <c r="BU76" i="7"/>
  <c r="BV76" i="7" s="1"/>
  <c r="BQ76" i="7"/>
  <c r="BD108" i="7"/>
  <c r="BC108" i="7"/>
  <c r="BH108" i="7"/>
  <c r="BE108" i="7"/>
  <c r="AZ111" i="7"/>
  <c r="AW111" i="7"/>
  <c r="AV111" i="7"/>
  <c r="AU111" i="7"/>
  <c r="Y77" i="7"/>
  <c r="W77" i="7"/>
  <c r="AA78" i="7"/>
  <c r="AB77" i="7"/>
  <c r="X77" i="7"/>
  <c r="AY112" i="7"/>
  <c r="Z77" i="7"/>
  <c r="BS77" i="7"/>
  <c r="BI106" i="7"/>
  <c r="AH153" i="7"/>
  <c r="AP228" i="7"/>
  <c r="BA110" i="7"/>
  <c r="AP227" i="7"/>
  <c r="AP223" i="7"/>
  <c r="AK148" i="7"/>
  <c r="AI152" i="7"/>
  <c r="AJ150" i="7"/>
  <c r="AG150" i="7"/>
  <c r="AF150" i="7"/>
  <c r="AE150" i="7"/>
  <c r="BG109" i="7"/>
  <c r="BG110" i="7" s="1"/>
  <c r="AE151" i="7"/>
  <c r="AJ151" i="7"/>
  <c r="AI153" i="7"/>
  <c r="AG151" i="7"/>
  <c r="AF151" i="7"/>
  <c r="G155" i="7"/>
  <c r="CA155" i="7" s="1"/>
  <c r="G154" i="7"/>
  <c r="CA154" i="7" s="1"/>
  <c r="H226" i="7"/>
  <c r="CI226" i="7" s="1"/>
  <c r="H230" i="7"/>
  <c r="CI230" i="7" s="1"/>
  <c r="H231" i="7"/>
  <c r="CI231" i="7" s="1"/>
  <c r="F78" i="7"/>
  <c r="L77" i="7"/>
  <c r="CL111" i="7" l="1"/>
  <c r="DB106" i="7"/>
  <c r="BR78" i="7"/>
  <c r="BT79" i="7"/>
  <c r="CZ108" i="7"/>
  <c r="CV107" i="7"/>
  <c r="DA107" i="7"/>
  <c r="CW107" i="7"/>
  <c r="CX107" i="7"/>
  <c r="CH114" i="7"/>
  <c r="CF114" i="7"/>
  <c r="CG114" i="7"/>
  <c r="CK114" i="7"/>
  <c r="CJ115" i="7"/>
  <c r="CH113" i="7"/>
  <c r="CF113" i="7"/>
  <c r="CG113" i="7"/>
  <c r="CK113" i="7"/>
  <c r="CL112" i="7"/>
  <c r="CT107" i="7"/>
  <c r="CS108" i="7"/>
  <c r="CN108" i="7"/>
  <c r="CO108" i="7"/>
  <c r="CP108" i="7"/>
  <c r="BX113" i="7"/>
  <c r="BY113" i="7"/>
  <c r="BI108" i="7"/>
  <c r="CR109" i="7"/>
  <c r="AS93" i="7"/>
  <c r="AR94" i="7"/>
  <c r="AO94" i="7"/>
  <c r="AN94" i="7"/>
  <c r="AM94" i="7"/>
  <c r="AQ95" i="7"/>
  <c r="CD105" i="7"/>
  <c r="CB114" i="7"/>
  <c r="BZ106" i="7"/>
  <c r="CC106" i="7"/>
  <c r="AK151" i="7"/>
  <c r="AZ112" i="7"/>
  <c r="AW112" i="7"/>
  <c r="AV112" i="7"/>
  <c r="AU112" i="7"/>
  <c r="BG111" i="7"/>
  <c r="BH110" i="7"/>
  <c r="BE110" i="7"/>
  <c r="BC110" i="7"/>
  <c r="BD110" i="7"/>
  <c r="Y78" i="7"/>
  <c r="AA79" i="7"/>
  <c r="X78" i="7"/>
  <c r="AB78" i="7"/>
  <c r="W78" i="7"/>
  <c r="AH155" i="7"/>
  <c r="AJ153" i="7"/>
  <c r="AI155" i="7"/>
  <c r="AG153" i="7"/>
  <c r="AF153" i="7"/>
  <c r="AE153" i="7"/>
  <c r="AK150" i="7"/>
  <c r="AP231" i="7"/>
  <c r="AP230" i="7"/>
  <c r="AJ152" i="7"/>
  <c r="AG152" i="7"/>
  <c r="AI154" i="7"/>
  <c r="AF152" i="7"/>
  <c r="AE152" i="7"/>
  <c r="BS78" i="7"/>
  <c r="Z78" i="7"/>
  <c r="AY113" i="7"/>
  <c r="BU77" i="7"/>
  <c r="BV77" i="7" s="1"/>
  <c r="BQ77" i="7"/>
  <c r="BP77" i="7"/>
  <c r="BD109" i="7"/>
  <c r="BC109" i="7"/>
  <c r="BH109" i="7"/>
  <c r="BE109" i="7"/>
  <c r="AP226" i="7"/>
  <c r="AH154" i="7"/>
  <c r="BA111" i="7"/>
  <c r="AC77" i="7"/>
  <c r="H229" i="7"/>
  <c r="CI229" i="7" s="1"/>
  <c r="G156" i="7"/>
  <c r="CA156" i="7" s="1"/>
  <c r="G157" i="7"/>
  <c r="CA157" i="7" s="1"/>
  <c r="H234" i="7"/>
  <c r="CI234" i="7" s="1"/>
  <c r="H233" i="7"/>
  <c r="CI233" i="7" s="1"/>
  <c r="F79" i="7"/>
  <c r="L78" i="7"/>
  <c r="BI110" i="7" l="1"/>
  <c r="DB107" i="7"/>
  <c r="DA108" i="7"/>
  <c r="CV108" i="7"/>
  <c r="CX108" i="7"/>
  <c r="CW108" i="7"/>
  <c r="CL114" i="7"/>
  <c r="BT80" i="7"/>
  <c r="BR79" i="7"/>
  <c r="CZ109" i="7"/>
  <c r="CD106" i="7"/>
  <c r="AS94" i="7"/>
  <c r="BI109" i="7"/>
  <c r="CL113" i="7"/>
  <c r="CJ116" i="7"/>
  <c r="CJ117" i="7" s="1"/>
  <c r="CJ118" i="7" s="1"/>
  <c r="CG115" i="7"/>
  <c r="CK115" i="7"/>
  <c r="CF115" i="7"/>
  <c r="CH115" i="7"/>
  <c r="CT108" i="7"/>
  <c r="CR110" i="7"/>
  <c r="CN109" i="7"/>
  <c r="CO109" i="7"/>
  <c r="CP109" i="7"/>
  <c r="CS109" i="7"/>
  <c r="BY114" i="7"/>
  <c r="BX114" i="7"/>
  <c r="AR95" i="7"/>
  <c r="AO95" i="7"/>
  <c r="AN95" i="7"/>
  <c r="AM95" i="7"/>
  <c r="AQ96" i="7"/>
  <c r="CB115" i="7"/>
  <c r="CC107" i="7"/>
  <c r="BZ107" i="7"/>
  <c r="AK153" i="7"/>
  <c r="AC78" i="7"/>
  <c r="AW113" i="7"/>
  <c r="AV113" i="7"/>
  <c r="AU113" i="7"/>
  <c r="AZ113" i="7"/>
  <c r="Y79" i="7"/>
  <c r="AA80" i="7"/>
  <c r="AB79" i="7"/>
  <c r="X79" i="7"/>
  <c r="W79" i="7"/>
  <c r="AP229" i="7"/>
  <c r="AY114" i="7"/>
  <c r="AY115" i="7" s="1"/>
  <c r="BE111" i="7"/>
  <c r="BH111" i="7"/>
  <c r="BD111" i="7"/>
  <c r="BC111" i="7"/>
  <c r="AE154" i="7"/>
  <c r="AJ154" i="7"/>
  <c r="AF154" i="7"/>
  <c r="AI156" i="7"/>
  <c r="AG154" i="7"/>
  <c r="AE155" i="7"/>
  <c r="AI157" i="7"/>
  <c r="AJ155" i="7"/>
  <c r="AG155" i="7"/>
  <c r="AF155" i="7"/>
  <c r="BU78" i="7"/>
  <c r="BV78" i="7" s="1"/>
  <c r="BQ78" i="7"/>
  <c r="BP78" i="7"/>
  <c r="AK152" i="7"/>
  <c r="AP233" i="7"/>
  <c r="AP234" i="7"/>
  <c r="BA112" i="7"/>
  <c r="AH156" i="7"/>
  <c r="BS79" i="7"/>
  <c r="Z79" i="7"/>
  <c r="AH157" i="7"/>
  <c r="BG112" i="7"/>
  <c r="G158" i="7"/>
  <c r="CA158" i="7" s="1"/>
  <c r="H232" i="7"/>
  <c r="CI232" i="7" s="1"/>
  <c r="G159" i="7"/>
  <c r="CA159" i="7" s="1"/>
  <c r="H236" i="7"/>
  <c r="CI236" i="7" s="1"/>
  <c r="H237" i="7"/>
  <c r="CI237" i="7" s="1"/>
  <c r="F80" i="7"/>
  <c r="L79" i="7"/>
  <c r="CL115" i="7" l="1"/>
  <c r="DB108" i="7"/>
  <c r="CZ110" i="7"/>
  <c r="CZ111" i="7" s="1"/>
  <c r="DA109" i="7"/>
  <c r="CX109" i="7"/>
  <c r="CW109" i="7"/>
  <c r="CV109" i="7"/>
  <c r="BT81" i="7"/>
  <c r="BR80" i="7"/>
  <c r="BI111" i="7"/>
  <c r="CF118" i="7"/>
  <c r="CG118" i="7"/>
  <c r="CK118" i="7"/>
  <c r="CH118" i="7"/>
  <c r="CJ119" i="7"/>
  <c r="CJ120" i="7" s="1"/>
  <c r="CK120" i="7" s="1"/>
  <c r="CF117" i="7"/>
  <c r="CG117" i="7"/>
  <c r="CH117" i="7"/>
  <c r="CK117" i="7"/>
  <c r="CK116" i="7"/>
  <c r="CF116" i="7"/>
  <c r="CG116" i="7"/>
  <c r="CH116" i="7"/>
  <c r="AS95" i="7"/>
  <c r="CD107" i="7"/>
  <c r="CT109" i="7"/>
  <c r="CN110" i="7"/>
  <c r="CO110" i="7"/>
  <c r="CP110" i="7"/>
  <c r="CS110" i="7"/>
  <c r="BX115" i="7"/>
  <c r="BY115" i="7"/>
  <c r="CR111" i="7"/>
  <c r="AR96" i="7"/>
  <c r="AO96" i="7"/>
  <c r="AN96" i="7"/>
  <c r="AM96" i="7"/>
  <c r="AQ97" i="7"/>
  <c r="CB116" i="7"/>
  <c r="CC108" i="7"/>
  <c r="BZ108" i="7"/>
  <c r="AK155" i="7"/>
  <c r="AY116" i="7"/>
  <c r="AV116" i="7" s="1"/>
  <c r="AK154" i="7"/>
  <c r="AF157" i="7"/>
  <c r="AE157" i="7"/>
  <c r="AI159" i="7"/>
  <c r="AG157" i="7"/>
  <c r="AJ157" i="7"/>
  <c r="AH158" i="7"/>
  <c r="AE156" i="7"/>
  <c r="AJ156" i="7"/>
  <c r="AI158" i="7"/>
  <c r="AG156" i="7"/>
  <c r="AF156" i="7"/>
  <c r="AA81" i="7"/>
  <c r="X80" i="7"/>
  <c r="Y80" i="7"/>
  <c r="W80" i="7"/>
  <c r="AB80" i="7"/>
  <c r="AC79" i="7"/>
  <c r="AZ115" i="7"/>
  <c r="AW115" i="7"/>
  <c r="AV115" i="7"/>
  <c r="AU115" i="7"/>
  <c r="AH159" i="7"/>
  <c r="BQ79" i="7"/>
  <c r="BU79" i="7"/>
  <c r="BV79" i="7" s="1"/>
  <c r="BP79" i="7"/>
  <c r="BS80" i="7"/>
  <c r="Z80" i="7"/>
  <c r="AP232" i="7"/>
  <c r="AP237" i="7"/>
  <c r="AW114" i="7"/>
  <c r="AV114" i="7"/>
  <c r="AU114" i="7"/>
  <c r="AZ114" i="7"/>
  <c r="BE112" i="7"/>
  <c r="BD112" i="7"/>
  <c r="BC112" i="7"/>
  <c r="BH112" i="7"/>
  <c r="BG113" i="7"/>
  <c r="BG114" i="7" s="1"/>
  <c r="AP236" i="7"/>
  <c r="BA113" i="7"/>
  <c r="G161" i="7"/>
  <c r="CA161" i="7" s="1"/>
  <c r="H235" i="7"/>
  <c r="CI235" i="7" s="1"/>
  <c r="G160" i="7"/>
  <c r="CA160" i="7" s="1"/>
  <c r="H239" i="7"/>
  <c r="CI239" i="7" s="1"/>
  <c r="H240" i="7"/>
  <c r="CI240" i="7" s="1"/>
  <c r="F81" i="7"/>
  <c r="L80" i="7"/>
  <c r="DB109" i="7" l="1"/>
  <c r="CL117" i="7"/>
  <c r="CL116" i="7"/>
  <c r="BR81" i="7"/>
  <c r="BT82" i="7"/>
  <c r="CZ112" i="7"/>
  <c r="CX111" i="7"/>
  <c r="CW111" i="7"/>
  <c r="CV111" i="7"/>
  <c r="DA111" i="7"/>
  <c r="DA110" i="7"/>
  <c r="CV110" i="7"/>
  <c r="CW110" i="7"/>
  <c r="CX110" i="7"/>
  <c r="CL118" i="7"/>
  <c r="CH119" i="7"/>
  <c r="CG119" i="7"/>
  <c r="CT110" i="7"/>
  <c r="CK119" i="7"/>
  <c r="CF119" i="7"/>
  <c r="CG120" i="7"/>
  <c r="CF120" i="7"/>
  <c r="CH120" i="7"/>
  <c r="CL120" i="7" s="1"/>
  <c r="CJ121" i="7"/>
  <c r="CK121" i="7" s="1"/>
  <c r="AS96" i="7"/>
  <c r="AW116" i="7"/>
  <c r="AZ116" i="7"/>
  <c r="AU116" i="7"/>
  <c r="BX116" i="7"/>
  <c r="BY116" i="7"/>
  <c r="BA115" i="7"/>
  <c r="AY117" i="7"/>
  <c r="AY118" i="7" s="1"/>
  <c r="CR112" i="7"/>
  <c r="CN111" i="7"/>
  <c r="CO111" i="7"/>
  <c r="CP111" i="7"/>
  <c r="CS111" i="7"/>
  <c r="AR97" i="7"/>
  <c r="AO97" i="7"/>
  <c r="AN97" i="7"/>
  <c r="AM97" i="7"/>
  <c r="AQ98" i="7"/>
  <c r="CB117" i="7"/>
  <c r="CC109" i="7"/>
  <c r="BZ109" i="7"/>
  <c r="CD108" i="7"/>
  <c r="AK157" i="7"/>
  <c r="AK156" i="7"/>
  <c r="BG115" i="7"/>
  <c r="BE115" i="7" s="1"/>
  <c r="BA114" i="7"/>
  <c r="AI160" i="7"/>
  <c r="AG158" i="7"/>
  <c r="AF158" i="7"/>
  <c r="AE158" i="7"/>
  <c r="AJ158" i="7"/>
  <c r="AH160" i="7"/>
  <c r="AP239" i="7"/>
  <c r="AP235" i="7"/>
  <c r="BQ80" i="7"/>
  <c r="BP80" i="7"/>
  <c r="BU80" i="7"/>
  <c r="BV80" i="7" s="1"/>
  <c r="BC114" i="7"/>
  <c r="BE114" i="7"/>
  <c r="BD114" i="7"/>
  <c r="BH114" i="7"/>
  <c r="BD113" i="7"/>
  <c r="BE113" i="7"/>
  <c r="BC113" i="7"/>
  <c r="BH113" i="7"/>
  <c r="AP240" i="7"/>
  <c r="AH161" i="7"/>
  <c r="AI161" i="7"/>
  <c r="AG159" i="7"/>
  <c r="AF159" i="7"/>
  <c r="AE159" i="7"/>
  <c r="AJ159" i="7"/>
  <c r="BI112" i="7"/>
  <c r="X81" i="7"/>
  <c r="AA82" i="7"/>
  <c r="AB81" i="7"/>
  <c r="Y81" i="7"/>
  <c r="W81" i="7"/>
  <c r="BS81" i="7"/>
  <c r="Z81" i="7"/>
  <c r="AC80" i="7"/>
  <c r="G162" i="7"/>
  <c r="CA162" i="7" s="1"/>
  <c r="H238" i="7"/>
  <c r="CI238" i="7" s="1"/>
  <c r="G163" i="7"/>
  <c r="CA163" i="7" s="1"/>
  <c r="H243" i="7"/>
  <c r="CI243" i="7" s="1"/>
  <c r="H242" i="7"/>
  <c r="CI242" i="7" s="1"/>
  <c r="F82" i="7"/>
  <c r="L81" i="7"/>
  <c r="CL119" i="7" l="1"/>
  <c r="DB111" i="7"/>
  <c r="DB110" i="7"/>
  <c r="BA116" i="7"/>
  <c r="CX112" i="7"/>
  <c r="CW112" i="7"/>
  <c r="DA112" i="7"/>
  <c r="CV112" i="7"/>
  <c r="CZ113" i="7"/>
  <c r="BT83" i="7"/>
  <c r="BR82" i="7"/>
  <c r="CT111" i="7"/>
  <c r="CJ122" i="7"/>
  <c r="CH122" i="7" s="1"/>
  <c r="CF121" i="7"/>
  <c r="CG121" i="7"/>
  <c r="CH121" i="7"/>
  <c r="CL121" i="7" s="1"/>
  <c r="BG116" i="7"/>
  <c r="BC116" i="7" s="1"/>
  <c r="AW118" i="7"/>
  <c r="AU118" i="7"/>
  <c r="CN112" i="7"/>
  <c r="CO112" i="7"/>
  <c r="CP112" i="7"/>
  <c r="CS112" i="7"/>
  <c r="CR113" i="7"/>
  <c r="BX117" i="7"/>
  <c r="BY117" i="7"/>
  <c r="AW117" i="7"/>
  <c r="AV117" i="7"/>
  <c r="BC115" i="7"/>
  <c r="AZ117" i="7"/>
  <c r="AU117" i="7"/>
  <c r="AS97" i="7"/>
  <c r="CD109" i="7"/>
  <c r="AR98" i="7"/>
  <c r="AO98" i="7"/>
  <c r="AN98" i="7"/>
  <c r="AM98" i="7"/>
  <c r="AQ99" i="7"/>
  <c r="CB118" i="7"/>
  <c r="BZ110" i="7"/>
  <c r="CC110" i="7"/>
  <c r="AK159" i="7"/>
  <c r="AZ118" i="7"/>
  <c r="AV118" i="7"/>
  <c r="AK158" i="7"/>
  <c r="BI113" i="7"/>
  <c r="BH115" i="7"/>
  <c r="BI115" i="7" s="1"/>
  <c r="BD115" i="7"/>
  <c r="AY119" i="7"/>
  <c r="AI162" i="7"/>
  <c r="AG160" i="7"/>
  <c r="AF160" i="7"/>
  <c r="AE160" i="7"/>
  <c r="AJ160" i="7"/>
  <c r="AH163" i="7"/>
  <c r="AP238" i="7"/>
  <c r="X82" i="7"/>
  <c r="Y82" i="7"/>
  <c r="W82" i="7"/>
  <c r="AB82" i="7"/>
  <c r="AA83" i="7"/>
  <c r="BI114" i="7"/>
  <c r="AH162" i="7"/>
  <c r="BS82" i="7"/>
  <c r="Z82" i="7"/>
  <c r="AC81" i="7"/>
  <c r="AP242" i="7"/>
  <c r="AP243" i="7"/>
  <c r="AE161" i="7"/>
  <c r="AJ161" i="7"/>
  <c r="AI163" i="7"/>
  <c r="AG161" i="7"/>
  <c r="AF161" i="7"/>
  <c r="BU81" i="7"/>
  <c r="BV81" i="7" s="1"/>
  <c r="BP81" i="7"/>
  <c r="BQ81" i="7"/>
  <c r="G164" i="7"/>
  <c r="CA164" i="7" s="1"/>
  <c r="H241" i="7"/>
  <c r="CI241" i="7" s="1"/>
  <c r="G165" i="7"/>
  <c r="CA165" i="7" s="1"/>
  <c r="H245" i="7"/>
  <c r="CI245" i="7" s="1"/>
  <c r="H246" i="7"/>
  <c r="CI246" i="7" s="1"/>
  <c r="F83" i="7"/>
  <c r="L82" i="7"/>
  <c r="DB112" i="7" l="1"/>
  <c r="CT112" i="7"/>
  <c r="CJ123" i="7"/>
  <c r="CH123" i="7" s="1"/>
  <c r="BT84" i="7"/>
  <c r="BR83" i="7"/>
  <c r="CW113" i="7"/>
  <c r="DA113" i="7"/>
  <c r="CV113" i="7"/>
  <c r="CX113" i="7"/>
  <c r="CZ114" i="7"/>
  <c r="BA118" i="7"/>
  <c r="CK122" i="7"/>
  <c r="CL122" i="7" s="1"/>
  <c r="CF122" i="7"/>
  <c r="CG122" i="7"/>
  <c r="BH116" i="7"/>
  <c r="BE116" i="7"/>
  <c r="CD110" i="7"/>
  <c r="BG117" i="7"/>
  <c r="BD117" i="7" s="1"/>
  <c r="BD116" i="7"/>
  <c r="BA117" i="7"/>
  <c r="AS98" i="7"/>
  <c r="AK161" i="7"/>
  <c r="BX118" i="7"/>
  <c r="BY118" i="7"/>
  <c r="CR114" i="7"/>
  <c r="CP113" i="7"/>
  <c r="CN113" i="7"/>
  <c r="CS113" i="7"/>
  <c r="CO113" i="7"/>
  <c r="AC82" i="7"/>
  <c r="AR99" i="7"/>
  <c r="AO99" i="7"/>
  <c r="AN99" i="7"/>
  <c r="AM99" i="7"/>
  <c r="AQ100" i="7"/>
  <c r="CB119" i="7"/>
  <c r="CC111" i="7"/>
  <c r="BZ111" i="7"/>
  <c r="AZ119" i="7"/>
  <c r="AY120" i="7"/>
  <c r="AY121" i="7" s="1"/>
  <c r="AW119" i="7"/>
  <c r="AV119" i="7"/>
  <c r="AU119" i="7"/>
  <c r="AK160" i="7"/>
  <c r="BS83" i="7"/>
  <c r="Z83" i="7"/>
  <c r="AP246" i="7"/>
  <c r="AP245" i="7"/>
  <c r="AJ163" i="7"/>
  <c r="AI165" i="7"/>
  <c r="AG163" i="7"/>
  <c r="AF163" i="7"/>
  <c r="AE163" i="7"/>
  <c r="AP241" i="7"/>
  <c r="AH164" i="7"/>
  <c r="AH165" i="7"/>
  <c r="BU82" i="7"/>
  <c r="BV82" i="7" s="1"/>
  <c r="BP82" i="7"/>
  <c r="BQ82" i="7"/>
  <c r="AJ162" i="7"/>
  <c r="AI164" i="7"/>
  <c r="AG162" i="7"/>
  <c r="AF162" i="7"/>
  <c r="AE162" i="7"/>
  <c r="AA84" i="7"/>
  <c r="X83" i="7"/>
  <c r="W83" i="7"/>
  <c r="AB83" i="7"/>
  <c r="Y83" i="7"/>
  <c r="G166" i="7"/>
  <c r="CA166" i="7" s="1"/>
  <c r="G167" i="7"/>
  <c r="CA167" i="7" s="1"/>
  <c r="H244" i="7"/>
  <c r="CI244" i="7" s="1"/>
  <c r="H248" i="7"/>
  <c r="CI248" i="7" s="1"/>
  <c r="H249" i="7"/>
  <c r="CI249" i="7" s="1"/>
  <c r="F84" i="7"/>
  <c r="L83" i="7"/>
  <c r="BI116" i="7" l="1"/>
  <c r="DB113" i="7"/>
  <c r="CJ124" i="7"/>
  <c r="CJ125" i="7" s="1"/>
  <c r="CG125" i="7" s="1"/>
  <c r="CG123" i="7"/>
  <c r="BG118" i="7"/>
  <c r="BG119" i="7" s="1"/>
  <c r="BC119" i="7" s="1"/>
  <c r="CF123" i="7"/>
  <c r="CT113" i="7"/>
  <c r="CK123" i="7"/>
  <c r="CL123" i="7" s="1"/>
  <c r="CZ115" i="7"/>
  <c r="CV114" i="7"/>
  <c r="CW114" i="7"/>
  <c r="CX114" i="7"/>
  <c r="DA114" i="7"/>
  <c r="BT85" i="7"/>
  <c r="BR84" i="7"/>
  <c r="BC117" i="7"/>
  <c r="BH117" i="7"/>
  <c r="BE117" i="7"/>
  <c r="BA119" i="7"/>
  <c r="CP114" i="7"/>
  <c r="CS114" i="7"/>
  <c r="CO114" i="7"/>
  <c r="CN114" i="7"/>
  <c r="CR115" i="7"/>
  <c r="BX119" i="7"/>
  <c r="BY119" i="7"/>
  <c r="AS99" i="7"/>
  <c r="AR100" i="7"/>
  <c r="AO100" i="7"/>
  <c r="AN100" i="7"/>
  <c r="AM100" i="7"/>
  <c r="AQ101" i="7"/>
  <c r="CB120" i="7"/>
  <c r="CC112" i="7"/>
  <c r="BZ112" i="7"/>
  <c r="CD111" i="7"/>
  <c r="AU121" i="7"/>
  <c r="AV121" i="7"/>
  <c r="AW121" i="7"/>
  <c r="AZ121" i="7"/>
  <c r="AV120" i="7"/>
  <c r="AW120" i="7"/>
  <c r="AU120" i="7"/>
  <c r="AY122" i="7"/>
  <c r="AZ120" i="7"/>
  <c r="AK162" i="7"/>
  <c r="AE164" i="7"/>
  <c r="AJ164" i="7"/>
  <c r="AI166" i="7"/>
  <c r="AG164" i="7"/>
  <c r="AF164" i="7"/>
  <c r="AJ165" i="7"/>
  <c r="AI167" i="7"/>
  <c r="AG165" i="7"/>
  <c r="AE165" i="7"/>
  <c r="AF165" i="7"/>
  <c r="AK163" i="7"/>
  <c r="BS84" i="7"/>
  <c r="Z84" i="7"/>
  <c r="AP249" i="7"/>
  <c r="AP244" i="7"/>
  <c r="AP248" i="7"/>
  <c r="AH167" i="7"/>
  <c r="AH166" i="7"/>
  <c r="Y84" i="7"/>
  <c r="W84" i="7"/>
  <c r="X84" i="7"/>
  <c r="AB84" i="7"/>
  <c r="AA85" i="7"/>
  <c r="AC83" i="7"/>
  <c r="BP83" i="7"/>
  <c r="BQ83" i="7"/>
  <c r="BU83" i="7"/>
  <c r="BV83" i="7" s="1"/>
  <c r="H247" i="7"/>
  <c r="CI247" i="7" s="1"/>
  <c r="G169" i="7"/>
  <c r="CA169" i="7" s="1"/>
  <c r="G168" i="7"/>
  <c r="CA168" i="7" s="1"/>
  <c r="H252" i="7"/>
  <c r="CI252" i="7" s="1"/>
  <c r="H251" i="7"/>
  <c r="CI251" i="7" s="1"/>
  <c r="F85" i="7"/>
  <c r="L84" i="7"/>
  <c r="BI117" i="7" l="1"/>
  <c r="CF124" i="7"/>
  <c r="CG124" i="7"/>
  <c r="CJ126" i="7"/>
  <c r="CH126" i="7" s="1"/>
  <c r="CK124" i="7"/>
  <c r="BC118" i="7"/>
  <c r="CH124" i="7"/>
  <c r="BE118" i="7"/>
  <c r="BH118" i="7"/>
  <c r="CH125" i="7"/>
  <c r="CF125" i="7"/>
  <c r="CK125" i="7"/>
  <c r="DB114" i="7"/>
  <c r="BG120" i="7"/>
  <c r="BD120" i="7" s="1"/>
  <c r="BH119" i="7"/>
  <c r="BE119" i="7"/>
  <c r="BD119" i="7"/>
  <c r="BD118" i="7"/>
  <c r="BT86" i="7"/>
  <c r="BR85" i="7"/>
  <c r="CX115" i="7"/>
  <c r="CW115" i="7"/>
  <c r="DA115" i="7"/>
  <c r="CV115" i="7"/>
  <c r="CZ116" i="7"/>
  <c r="CZ117" i="7" s="1"/>
  <c r="AK164" i="7"/>
  <c r="BA121" i="7"/>
  <c r="CT114" i="7"/>
  <c r="AS100" i="7"/>
  <c r="CR116" i="7"/>
  <c r="CP115" i="7"/>
  <c r="CS115" i="7"/>
  <c r="CN115" i="7"/>
  <c r="CO115" i="7"/>
  <c r="CD112" i="7"/>
  <c r="BA120" i="7"/>
  <c r="BX120" i="7"/>
  <c r="BY120" i="7"/>
  <c r="AR101" i="7"/>
  <c r="AO101" i="7"/>
  <c r="AN101" i="7"/>
  <c r="AM101" i="7"/>
  <c r="AQ102" i="7"/>
  <c r="CB121" i="7"/>
  <c r="BZ113" i="7"/>
  <c r="CC113" i="7"/>
  <c r="AZ122" i="7"/>
  <c r="AU122" i="7"/>
  <c r="AV122" i="7"/>
  <c r="AY123" i="7"/>
  <c r="AY124" i="7" s="1"/>
  <c r="AU124" i="7" s="1"/>
  <c r="AW122" i="7"/>
  <c r="AC84" i="7"/>
  <c r="AP251" i="7"/>
  <c r="AP252" i="7"/>
  <c r="BU84" i="7"/>
  <c r="BV84" i="7" s="1"/>
  <c r="BP84" i="7"/>
  <c r="BQ84" i="7"/>
  <c r="AH169" i="7"/>
  <c r="AH168" i="7"/>
  <c r="AK165" i="7"/>
  <c r="X85" i="7"/>
  <c r="W85" i="7"/>
  <c r="AB85" i="7"/>
  <c r="AA86" i="7"/>
  <c r="Y85" i="7"/>
  <c r="AI169" i="7"/>
  <c r="AJ167" i="7"/>
  <c r="AE167" i="7"/>
  <c r="AG167" i="7"/>
  <c r="AF167" i="7"/>
  <c r="AP247" i="7"/>
  <c r="BS85" i="7"/>
  <c r="Z85" i="7"/>
  <c r="AE166" i="7"/>
  <c r="AJ166" i="7"/>
  <c r="AI168" i="7"/>
  <c r="AF166" i="7"/>
  <c r="AG166" i="7"/>
  <c r="G171" i="7"/>
  <c r="CA171" i="7" s="1"/>
  <c r="G170" i="7"/>
  <c r="CA170" i="7" s="1"/>
  <c r="H250" i="7"/>
  <c r="CI250" i="7" s="1"/>
  <c r="H254" i="7"/>
  <c r="CI254" i="7" s="1"/>
  <c r="H255" i="7"/>
  <c r="CI255" i="7" s="1"/>
  <c r="F86" i="7"/>
  <c r="L85" i="7"/>
  <c r="BI118" i="7" l="1"/>
  <c r="CL124" i="7"/>
  <c r="CL125" i="7"/>
  <c r="DB115" i="7"/>
  <c r="CJ127" i="7"/>
  <c r="CF127" i="7" s="1"/>
  <c r="CF126" i="7"/>
  <c r="BI119" i="7"/>
  <c r="BC120" i="7"/>
  <c r="BH120" i="7"/>
  <c r="CG126" i="7"/>
  <c r="CK126" i="7"/>
  <c r="CL126" i="7" s="1"/>
  <c r="BE120" i="7"/>
  <c r="BG121" i="7"/>
  <c r="BG122" i="7" s="1"/>
  <c r="BH122" i="7" s="1"/>
  <c r="CD113" i="7"/>
  <c r="CX117" i="7"/>
  <c r="CV117" i="7"/>
  <c r="CW117" i="7"/>
  <c r="DA117" i="7"/>
  <c r="CV116" i="7"/>
  <c r="CW116" i="7"/>
  <c r="CX116" i="7"/>
  <c r="DA116" i="7"/>
  <c r="BT87" i="7"/>
  <c r="BR86" i="7"/>
  <c r="CZ118" i="7"/>
  <c r="AS101" i="7"/>
  <c r="CT115" i="7"/>
  <c r="CR117" i="7"/>
  <c r="BY121" i="7"/>
  <c r="BX121" i="7"/>
  <c r="AY125" i="7"/>
  <c r="AY126" i="7" s="1"/>
  <c r="AZ126" i="7" s="1"/>
  <c r="CO116" i="7"/>
  <c r="CP116" i="7"/>
  <c r="CS116" i="7"/>
  <c r="CN116" i="7"/>
  <c r="AR102" i="7"/>
  <c r="AO102" i="7"/>
  <c r="AN102" i="7"/>
  <c r="AM102" i="7"/>
  <c r="AQ103" i="7"/>
  <c r="CB122" i="7"/>
  <c r="BZ115" i="7"/>
  <c r="CC115" i="7"/>
  <c r="CC114" i="7"/>
  <c r="BZ114" i="7"/>
  <c r="AC85" i="7"/>
  <c r="AW124" i="7"/>
  <c r="AK166" i="7"/>
  <c r="AV124" i="7"/>
  <c r="AZ124" i="7"/>
  <c r="AK167" i="7"/>
  <c r="AW123" i="7"/>
  <c r="AV123" i="7"/>
  <c r="AU123" i="7"/>
  <c r="AZ123" i="7"/>
  <c r="BA122" i="7"/>
  <c r="AP250" i="7"/>
  <c r="AJ168" i="7"/>
  <c r="AI170" i="7"/>
  <c r="AE168" i="7"/>
  <c r="AG168" i="7"/>
  <c r="AF168" i="7"/>
  <c r="AH170" i="7"/>
  <c r="AH171" i="7"/>
  <c r="AE169" i="7"/>
  <c r="AI171" i="7"/>
  <c r="AF169" i="7"/>
  <c r="AJ169" i="7"/>
  <c r="AG169" i="7"/>
  <c r="BS86" i="7"/>
  <c r="Z86" i="7"/>
  <c r="AP255" i="7"/>
  <c r="AA87" i="7"/>
  <c r="Y86" i="7"/>
  <c r="X86" i="7"/>
  <c r="AB86" i="7"/>
  <c r="W86" i="7"/>
  <c r="BU85" i="7"/>
  <c r="BV85" i="7" s="1"/>
  <c r="BP85" i="7"/>
  <c r="BQ85" i="7"/>
  <c r="AP254" i="7"/>
  <c r="H253" i="7"/>
  <c r="CI253" i="7" s="1"/>
  <c r="G173" i="7"/>
  <c r="CA173" i="7" s="1"/>
  <c r="G172" i="7"/>
  <c r="CA172" i="7" s="1"/>
  <c r="H258" i="7"/>
  <c r="CI258" i="7" s="1"/>
  <c r="H257" i="7"/>
  <c r="CI257" i="7" s="1"/>
  <c r="F87" i="7"/>
  <c r="L86" i="7"/>
  <c r="DB116" i="7" l="1"/>
  <c r="BI120" i="7"/>
  <c r="CH127" i="7"/>
  <c r="CJ128" i="7"/>
  <c r="CJ129" i="7" s="1"/>
  <c r="CJ130" i="7" s="1"/>
  <c r="CK127" i="7"/>
  <c r="CG127" i="7"/>
  <c r="BE121" i="7"/>
  <c r="BH121" i="7"/>
  <c r="BC121" i="7"/>
  <c r="BD121" i="7"/>
  <c r="DB117" i="7"/>
  <c r="BG123" i="7"/>
  <c r="BG124" i="7" s="1"/>
  <c r="BG125" i="7" s="1"/>
  <c r="BG126" i="7" s="1"/>
  <c r="BD122" i="7"/>
  <c r="BE122" i="7"/>
  <c r="BC122" i="7"/>
  <c r="CZ119" i="7"/>
  <c r="CX118" i="7"/>
  <c r="DA118" i="7"/>
  <c r="CW118" i="7"/>
  <c r="CV118" i="7"/>
  <c r="BT88" i="7"/>
  <c r="BR87" i="7"/>
  <c r="CD114" i="7"/>
  <c r="CD115" i="7"/>
  <c r="BY122" i="7"/>
  <c r="BX122" i="7"/>
  <c r="AV125" i="7"/>
  <c r="AU126" i="7"/>
  <c r="AY127" i="7"/>
  <c r="AW127" i="7" s="1"/>
  <c r="AV126" i="7"/>
  <c r="AW126" i="7"/>
  <c r="BA126" i="7" s="1"/>
  <c r="AS102" i="7"/>
  <c r="AW125" i="7"/>
  <c r="AZ125" i="7"/>
  <c r="CR118" i="7"/>
  <c r="CR119" i="7" s="1"/>
  <c r="CO117" i="7"/>
  <c r="CP117" i="7"/>
  <c r="CS117" i="7"/>
  <c r="CN117" i="7"/>
  <c r="AU125" i="7"/>
  <c r="BA123" i="7"/>
  <c r="CT116" i="7"/>
  <c r="AR103" i="7"/>
  <c r="AO103" i="7"/>
  <c r="AN103" i="7"/>
  <c r="AM103" i="7"/>
  <c r="AQ104" i="7"/>
  <c r="CB123" i="7"/>
  <c r="CC117" i="7"/>
  <c r="BZ117" i="7"/>
  <c r="BZ116" i="7"/>
  <c r="CC116" i="7"/>
  <c r="AK168" i="7"/>
  <c r="BA124" i="7"/>
  <c r="AH173" i="7"/>
  <c r="AK169" i="7"/>
  <c r="AG170" i="7"/>
  <c r="AJ170" i="7"/>
  <c r="AF170" i="7"/>
  <c r="AE170" i="7"/>
  <c r="AI172" i="7"/>
  <c r="AJ171" i="7"/>
  <c r="AI173" i="7"/>
  <c r="AG171" i="7"/>
  <c r="AF171" i="7"/>
  <c r="AE171" i="7"/>
  <c r="AC86" i="7"/>
  <c r="AP253" i="7"/>
  <c r="Y87" i="7"/>
  <c r="AB87" i="7"/>
  <c r="AA88" i="7"/>
  <c r="W87" i="7"/>
  <c r="X87" i="7"/>
  <c r="BS87" i="7"/>
  <c r="Z87" i="7"/>
  <c r="AP257" i="7"/>
  <c r="AH172" i="7"/>
  <c r="AP258" i="7"/>
  <c r="BP86" i="7"/>
  <c r="BU86" i="7"/>
  <c r="BV86" i="7" s="1"/>
  <c r="BQ86" i="7"/>
  <c r="BI122" i="7"/>
  <c r="G175" i="7"/>
  <c r="CA175" i="7" s="1"/>
  <c r="G174" i="7"/>
  <c r="CA174" i="7" s="1"/>
  <c r="H256" i="7"/>
  <c r="CI256" i="7" s="1"/>
  <c r="H260" i="7"/>
  <c r="CI260" i="7" s="1"/>
  <c r="H261" i="7"/>
  <c r="CI261" i="7" s="1"/>
  <c r="F88" i="7"/>
  <c r="L87" i="7"/>
  <c r="CL127" i="7" l="1"/>
  <c r="DB118" i="7"/>
  <c r="BI121" i="7"/>
  <c r="CH128" i="7"/>
  <c r="CK128" i="7"/>
  <c r="CF128" i="7"/>
  <c r="CG128" i="7"/>
  <c r="BH123" i="7"/>
  <c r="BC123" i="7"/>
  <c r="BD123" i="7"/>
  <c r="BE123" i="7"/>
  <c r="BC124" i="7"/>
  <c r="BH124" i="7"/>
  <c r="BE124" i="7"/>
  <c r="BD124" i="7"/>
  <c r="CD117" i="7"/>
  <c r="BT89" i="7"/>
  <c r="BR88" i="7"/>
  <c r="CV119" i="7"/>
  <c r="CX119" i="7"/>
  <c r="CW119" i="7"/>
  <c r="DA119" i="7"/>
  <c r="CZ120" i="7"/>
  <c r="AS103" i="7"/>
  <c r="CK130" i="7"/>
  <c r="CH130" i="7"/>
  <c r="CF130" i="7"/>
  <c r="CG130" i="7"/>
  <c r="BA125" i="7"/>
  <c r="AY128" i="7"/>
  <c r="AZ128" i="7" s="1"/>
  <c r="AV127" i="7"/>
  <c r="AZ127" i="7"/>
  <c r="BA127" i="7" s="1"/>
  <c r="AU127" i="7"/>
  <c r="CT117" i="7"/>
  <c r="CJ131" i="7"/>
  <c r="CJ132" i="7" s="1"/>
  <c r="CK129" i="7"/>
  <c r="CH129" i="7"/>
  <c r="CF129" i="7"/>
  <c r="CG129" i="7"/>
  <c r="CD116" i="7"/>
  <c r="BY123" i="7"/>
  <c r="BX123" i="7"/>
  <c r="CR120" i="7"/>
  <c r="CP119" i="7"/>
  <c r="CS119" i="7"/>
  <c r="CN119" i="7"/>
  <c r="CO119" i="7"/>
  <c r="CS118" i="7"/>
  <c r="CN118" i="7"/>
  <c r="CO118" i="7"/>
  <c r="CP118" i="7"/>
  <c r="AR104" i="7"/>
  <c r="AO104" i="7"/>
  <c r="AN104" i="7"/>
  <c r="AM104" i="7"/>
  <c r="AQ105" i="7"/>
  <c r="CB124" i="7"/>
  <c r="CC118" i="7"/>
  <c r="BZ118" i="7"/>
  <c r="AK170" i="7"/>
  <c r="AK171" i="7"/>
  <c r="AJ173" i="7"/>
  <c r="AF173" i="7"/>
  <c r="AI175" i="7"/>
  <c r="AG173" i="7"/>
  <c r="AE173" i="7"/>
  <c r="BH126" i="7"/>
  <c r="BE126" i="7"/>
  <c r="BD126" i="7"/>
  <c r="BC126" i="7"/>
  <c r="AG172" i="7"/>
  <c r="AE172" i="7"/>
  <c r="AF172" i="7"/>
  <c r="AI174" i="7"/>
  <c r="AJ172" i="7"/>
  <c r="BG127" i="7"/>
  <c r="AP260" i="7"/>
  <c r="AP261" i="7"/>
  <c r="AC87" i="7"/>
  <c r="BS88" i="7"/>
  <c r="Z88" i="7"/>
  <c r="AP256" i="7"/>
  <c r="AH174" i="7"/>
  <c r="AH175" i="7"/>
  <c r="BQ87" i="7"/>
  <c r="BU87" i="7"/>
  <c r="BV87" i="7" s="1"/>
  <c r="BP87" i="7"/>
  <c r="AB88" i="7"/>
  <c r="AA89" i="7"/>
  <c r="X88" i="7"/>
  <c r="Y88" i="7"/>
  <c r="W88" i="7"/>
  <c r="BD125" i="7"/>
  <c r="BC125" i="7"/>
  <c r="BH125" i="7"/>
  <c r="BE125" i="7"/>
  <c r="G177" i="7"/>
  <c r="CA177" i="7" s="1"/>
  <c r="H259" i="7"/>
  <c r="CI259" i="7" s="1"/>
  <c r="G176" i="7"/>
  <c r="CA176" i="7" s="1"/>
  <c r="H264" i="7"/>
  <c r="CI264" i="7" s="1"/>
  <c r="H263" i="7"/>
  <c r="CI263" i="7" s="1"/>
  <c r="F89" i="7"/>
  <c r="L88" i="7"/>
  <c r="CL128" i="7" l="1"/>
  <c r="BI123" i="7"/>
  <c r="BI124" i="7"/>
  <c r="DB119" i="7"/>
  <c r="CL130" i="7"/>
  <c r="CZ121" i="7"/>
  <c r="DA120" i="7"/>
  <c r="CX120" i="7"/>
  <c r="CV120" i="7"/>
  <c r="CW120" i="7"/>
  <c r="BT90" i="7"/>
  <c r="BR89" i="7"/>
  <c r="CD118" i="7"/>
  <c r="CJ133" i="7"/>
  <c r="CF133" i="7" s="1"/>
  <c r="AW128" i="7"/>
  <c r="BA128" i="7" s="1"/>
  <c r="AY129" i="7"/>
  <c r="AU129" i="7" s="1"/>
  <c r="CF132" i="7"/>
  <c r="CH132" i="7"/>
  <c r="CK132" i="7"/>
  <c r="CG132" i="7"/>
  <c r="CT118" i="7"/>
  <c r="AU128" i="7"/>
  <c r="AV128" i="7"/>
  <c r="CT119" i="7"/>
  <c r="CL129" i="7"/>
  <c r="CF131" i="7"/>
  <c r="CH131" i="7"/>
  <c r="CG131" i="7"/>
  <c r="CK131" i="7"/>
  <c r="BY124" i="7"/>
  <c r="BX124" i="7"/>
  <c r="AS104" i="7"/>
  <c r="CS120" i="7"/>
  <c r="CP120" i="7"/>
  <c r="CN120" i="7"/>
  <c r="CO120" i="7"/>
  <c r="CR121" i="7"/>
  <c r="AR105" i="7"/>
  <c r="AO105" i="7"/>
  <c r="AN105" i="7"/>
  <c r="AM105" i="7"/>
  <c r="AQ106" i="7"/>
  <c r="CB125" i="7"/>
  <c r="BZ119" i="7"/>
  <c r="CC119" i="7"/>
  <c r="AK173" i="7"/>
  <c r="BI125" i="7"/>
  <c r="BI126" i="7"/>
  <c r="AK172" i="7"/>
  <c r="BD127" i="7"/>
  <c r="BC127" i="7"/>
  <c r="BH127" i="7"/>
  <c r="BE127" i="7"/>
  <c r="AC88" i="7"/>
  <c r="X89" i="7"/>
  <c r="AA90" i="7"/>
  <c r="W89" i="7"/>
  <c r="AB89" i="7"/>
  <c r="Y89" i="7"/>
  <c r="AP259" i="7"/>
  <c r="AH177" i="7"/>
  <c r="BU88" i="7"/>
  <c r="BV88" i="7" s="1"/>
  <c r="BQ88" i="7"/>
  <c r="BP88" i="7"/>
  <c r="AP264" i="7"/>
  <c r="AP263" i="7"/>
  <c r="AI177" i="7"/>
  <c r="AJ175" i="7"/>
  <c r="AG175" i="7"/>
  <c r="AF175" i="7"/>
  <c r="AE175" i="7"/>
  <c r="AH176" i="7"/>
  <c r="AI176" i="7"/>
  <c r="AJ174" i="7"/>
  <c r="AG174" i="7"/>
  <c r="AF174" i="7"/>
  <c r="AE174" i="7"/>
  <c r="Z89" i="7"/>
  <c r="BS89" i="7"/>
  <c r="BG128" i="7"/>
  <c r="G178" i="7"/>
  <c r="CA178" i="7" s="1"/>
  <c r="H262" i="7"/>
  <c r="CI262" i="7" s="1"/>
  <c r="G179" i="7"/>
  <c r="CA179" i="7" s="1"/>
  <c r="H266" i="7"/>
  <c r="CI266" i="7" s="1"/>
  <c r="H267" i="7"/>
  <c r="CI267" i="7" s="1"/>
  <c r="F90" i="7"/>
  <c r="L89" i="7"/>
  <c r="DB120" i="7" l="1"/>
  <c r="AY130" i="7"/>
  <c r="AW130" i="7" s="1"/>
  <c r="BT91" i="7"/>
  <c r="BR90" i="7"/>
  <c r="CW121" i="7"/>
  <c r="CX121" i="7"/>
  <c r="DA121" i="7"/>
  <c r="CV121" i="7"/>
  <c r="CZ122" i="7"/>
  <c r="CD119" i="7"/>
  <c r="CJ134" i="7"/>
  <c r="CJ135" i="7" s="1"/>
  <c r="CK135" i="7" s="1"/>
  <c r="CG133" i="7"/>
  <c r="AV129" i="7"/>
  <c r="CH133" i="7"/>
  <c r="CK133" i="7"/>
  <c r="CL132" i="7"/>
  <c r="CL131" i="7"/>
  <c r="AW129" i="7"/>
  <c r="AZ129" i="7"/>
  <c r="BI127" i="7"/>
  <c r="BY125" i="7"/>
  <c r="BX125" i="7"/>
  <c r="CT120" i="7"/>
  <c r="AS105" i="7"/>
  <c r="CR122" i="7"/>
  <c r="CN121" i="7"/>
  <c r="CO121" i="7"/>
  <c r="CP121" i="7"/>
  <c r="CS121" i="7"/>
  <c r="AR106" i="7"/>
  <c r="AO106" i="7"/>
  <c r="AN106" i="7"/>
  <c r="AM106" i="7"/>
  <c r="AQ107" i="7"/>
  <c r="CB126" i="7"/>
  <c r="BZ120" i="7"/>
  <c r="CC120" i="7"/>
  <c r="AK175" i="7"/>
  <c r="AC89" i="7"/>
  <c r="AK174" i="7"/>
  <c r="BD128" i="7"/>
  <c r="BC128" i="7"/>
  <c r="BH128" i="7"/>
  <c r="BE128" i="7"/>
  <c r="AI179" i="7"/>
  <c r="AJ177" i="7"/>
  <c r="AF177" i="7"/>
  <c r="AG177" i="7"/>
  <c r="AE177" i="7"/>
  <c r="BS90" i="7"/>
  <c r="Z90" i="7"/>
  <c r="BG129" i="7"/>
  <c r="AP266" i="7"/>
  <c r="X90" i="7"/>
  <c r="Y90" i="7"/>
  <c r="W90" i="7"/>
  <c r="AB90" i="7"/>
  <c r="AA91" i="7"/>
  <c r="BQ89" i="7"/>
  <c r="BP89" i="7"/>
  <c r="BU89" i="7"/>
  <c r="BV89" i="7" s="1"/>
  <c r="AH179" i="7"/>
  <c r="AF176" i="7"/>
  <c r="AI178" i="7"/>
  <c r="AG176" i="7"/>
  <c r="AE176" i="7"/>
  <c r="AJ176" i="7"/>
  <c r="AP267" i="7"/>
  <c r="AP262" i="7"/>
  <c r="AH178" i="7"/>
  <c r="G180" i="7"/>
  <c r="CA180" i="7" s="1"/>
  <c r="G181" i="7"/>
  <c r="CA181" i="7" s="1"/>
  <c r="H265" i="7"/>
  <c r="CI265" i="7" s="1"/>
  <c r="H270" i="7"/>
  <c r="CI270" i="7" s="1"/>
  <c r="H269" i="7"/>
  <c r="CI269" i="7" s="1"/>
  <c r="F91" i="7"/>
  <c r="L90" i="7"/>
  <c r="AY131" i="7" l="1"/>
  <c r="AU131" i="7" s="1"/>
  <c r="DB121" i="7"/>
  <c r="AU130" i="7"/>
  <c r="AV130" i="7"/>
  <c r="AZ130" i="7"/>
  <c r="CW122" i="7"/>
  <c r="CV122" i="7"/>
  <c r="CX122" i="7"/>
  <c r="DA122" i="7"/>
  <c r="CZ123" i="7"/>
  <c r="CZ124" i="7" s="1"/>
  <c r="BT92" i="7"/>
  <c r="BR91" i="7"/>
  <c r="CF135" i="7"/>
  <c r="CH135" i="7"/>
  <c r="CL135" i="7" s="1"/>
  <c r="CG135" i="7"/>
  <c r="CJ136" i="7"/>
  <c r="CF136" i="7" s="1"/>
  <c r="CG134" i="7"/>
  <c r="CK134" i="7"/>
  <c r="CF134" i="7"/>
  <c r="CH134" i="7"/>
  <c r="CT121" i="7"/>
  <c r="CL133" i="7"/>
  <c r="CD120" i="7"/>
  <c r="BA129" i="7"/>
  <c r="CO122" i="7"/>
  <c r="CP122" i="7"/>
  <c r="CS122" i="7"/>
  <c r="CN122" i="7"/>
  <c r="BA130" i="7"/>
  <c r="CR123" i="7"/>
  <c r="BY126" i="7"/>
  <c r="BX126" i="7"/>
  <c r="BI128" i="7"/>
  <c r="AS106" i="7"/>
  <c r="AR107" i="7"/>
  <c r="AO107" i="7"/>
  <c r="AN107" i="7"/>
  <c r="AM107" i="7"/>
  <c r="AQ108" i="7"/>
  <c r="CB127" i="7"/>
  <c r="BZ121" i="7"/>
  <c r="CC121" i="7"/>
  <c r="AF178" i="7"/>
  <c r="AG178" i="7"/>
  <c r="AE178" i="7"/>
  <c r="AI180" i="7"/>
  <c r="AJ178" i="7"/>
  <c r="AK177" i="7"/>
  <c r="BS91" i="7"/>
  <c r="Z91" i="7"/>
  <c r="AI181" i="7"/>
  <c r="AF179" i="7"/>
  <c r="AE179" i="7"/>
  <c r="AG179" i="7"/>
  <c r="AJ179" i="7"/>
  <c r="BG130" i="7"/>
  <c r="AP269" i="7"/>
  <c r="AP270" i="7"/>
  <c r="BU90" i="7"/>
  <c r="BV90" i="7" s="1"/>
  <c r="BQ90" i="7"/>
  <c r="BP90" i="7"/>
  <c r="AP265" i="7"/>
  <c r="BE129" i="7"/>
  <c r="BD129" i="7"/>
  <c r="BC129" i="7"/>
  <c r="BH129" i="7"/>
  <c r="AH181" i="7"/>
  <c r="AH180" i="7"/>
  <c r="AC90" i="7"/>
  <c r="AK176" i="7"/>
  <c r="W91" i="7"/>
  <c r="AA92" i="7"/>
  <c r="AB91" i="7"/>
  <c r="Y91" i="7"/>
  <c r="X91" i="7"/>
  <c r="H268" i="7"/>
  <c r="CI268" i="7" s="1"/>
  <c r="G182" i="7"/>
  <c r="CA182" i="7" s="1"/>
  <c r="G183" i="7"/>
  <c r="CA183" i="7" s="1"/>
  <c r="H272" i="7"/>
  <c r="CI272" i="7" s="1"/>
  <c r="H273" i="7"/>
  <c r="CI273" i="7" s="1"/>
  <c r="F92" i="7"/>
  <c r="L91" i="7"/>
  <c r="AV131" i="7" l="1"/>
  <c r="AY132" i="7"/>
  <c r="AY133" i="7" s="1"/>
  <c r="AZ133" i="7" s="1"/>
  <c r="AW131" i="7"/>
  <c r="AZ131" i="7"/>
  <c r="DB122" i="7"/>
  <c r="CL134" i="7"/>
  <c r="CW124" i="7"/>
  <c r="CV124" i="7"/>
  <c r="CX124" i="7"/>
  <c r="DA124" i="7"/>
  <c r="DB124" i="7" s="1"/>
  <c r="BR92" i="7"/>
  <c r="BT93" i="7"/>
  <c r="CX123" i="7"/>
  <c r="CW123" i="7"/>
  <c r="CV123" i="7"/>
  <c r="DA123" i="7"/>
  <c r="CZ125" i="7"/>
  <c r="CZ126" i="7" s="1"/>
  <c r="CT122" i="7"/>
  <c r="CJ137" i="7"/>
  <c r="CH137" i="7" s="1"/>
  <c r="CH136" i="7"/>
  <c r="CK136" i="7"/>
  <c r="CG136" i="7"/>
  <c r="AS107" i="7"/>
  <c r="CD121" i="7"/>
  <c r="BX127" i="7"/>
  <c r="BY127" i="7"/>
  <c r="BI129" i="7"/>
  <c r="CR124" i="7"/>
  <c r="CP123" i="7"/>
  <c r="CS123" i="7"/>
  <c r="CN123" i="7"/>
  <c r="CO123" i="7"/>
  <c r="AR108" i="7"/>
  <c r="AO108" i="7"/>
  <c r="AN108" i="7"/>
  <c r="AM108" i="7"/>
  <c r="AQ109" i="7"/>
  <c r="CB128" i="7"/>
  <c r="BZ123" i="7"/>
  <c r="CC123" i="7"/>
  <c r="CC122" i="7"/>
  <c r="BZ122" i="7"/>
  <c r="AK178" i="7"/>
  <c r="BP91" i="7"/>
  <c r="BU91" i="7"/>
  <c r="BV91" i="7" s="1"/>
  <c r="BQ91" i="7"/>
  <c r="AE181" i="7"/>
  <c r="AI183" i="7"/>
  <c r="AJ181" i="7"/>
  <c r="AF181" i="7"/>
  <c r="AG181" i="7"/>
  <c r="AC91" i="7"/>
  <c r="BH130" i="7"/>
  <c r="BD130" i="7"/>
  <c r="BC130" i="7"/>
  <c r="BE130" i="7"/>
  <c r="Y92" i="7"/>
  <c r="X92" i="7"/>
  <c r="W92" i="7"/>
  <c r="AB92" i="7"/>
  <c r="AA93" i="7"/>
  <c r="BS92" i="7"/>
  <c r="Z92" i="7"/>
  <c r="AP272" i="7"/>
  <c r="AE180" i="7"/>
  <c r="AJ180" i="7"/>
  <c r="AF180" i="7"/>
  <c r="AI182" i="7"/>
  <c r="AG180" i="7"/>
  <c r="AH183" i="7"/>
  <c r="AP273" i="7"/>
  <c r="AH182" i="7"/>
  <c r="AP268" i="7"/>
  <c r="BA131" i="7"/>
  <c r="AK179" i="7"/>
  <c r="BG131" i="7"/>
  <c r="G185" i="7"/>
  <c r="CA185" i="7" s="1"/>
  <c r="G184" i="7"/>
  <c r="CA184" i="7" s="1"/>
  <c r="H271" i="7"/>
  <c r="CI271" i="7" s="1"/>
  <c r="H276" i="7"/>
  <c r="CI276" i="7" s="1"/>
  <c r="H275" i="7"/>
  <c r="CI275" i="7" s="1"/>
  <c r="F93" i="7"/>
  <c r="L92" i="7"/>
  <c r="AY134" i="7" l="1"/>
  <c r="AV134" i="7" s="1"/>
  <c r="AU133" i="7"/>
  <c r="AV133" i="7"/>
  <c r="AV132" i="7"/>
  <c r="AW133" i="7"/>
  <c r="BA133" i="7" s="1"/>
  <c r="AU132" i="7"/>
  <c r="AW132" i="7"/>
  <c r="AZ132" i="7"/>
  <c r="CD123" i="7"/>
  <c r="CL136" i="7"/>
  <c r="DB123" i="7"/>
  <c r="CJ138" i="7"/>
  <c r="CF138" i="7" s="1"/>
  <c r="CD122" i="7"/>
  <c r="CZ127" i="7"/>
  <c r="CZ128" i="7" s="1"/>
  <c r="CW126" i="7"/>
  <c r="CX126" i="7"/>
  <c r="DA126" i="7"/>
  <c r="CV126" i="7"/>
  <c r="BT94" i="7"/>
  <c r="BR93" i="7"/>
  <c r="CW125" i="7"/>
  <c r="CX125" i="7"/>
  <c r="DA125" i="7"/>
  <c r="CV125" i="7"/>
  <c r="CF137" i="7"/>
  <c r="CG137" i="7"/>
  <c r="CK137" i="7"/>
  <c r="CL137" i="7" s="1"/>
  <c r="CT123" i="7"/>
  <c r="BX128" i="7"/>
  <c r="BY128" i="7"/>
  <c r="CN124" i="7"/>
  <c r="CO124" i="7"/>
  <c r="CP124" i="7"/>
  <c r="CS124" i="7"/>
  <c r="AS108" i="7"/>
  <c r="CR125" i="7"/>
  <c r="CR126" i="7" s="1"/>
  <c r="AR109" i="7"/>
  <c r="AO109" i="7"/>
  <c r="AN109" i="7"/>
  <c r="AM109" i="7"/>
  <c r="AQ110" i="7"/>
  <c r="CB129" i="7"/>
  <c r="BZ125" i="7"/>
  <c r="CC125" i="7"/>
  <c r="CC124" i="7"/>
  <c r="BZ124" i="7"/>
  <c r="AK180" i="7"/>
  <c r="AK181" i="7"/>
  <c r="AC92" i="7"/>
  <c r="AI185" i="7"/>
  <c r="AG183" i="7"/>
  <c r="AF183" i="7"/>
  <c r="AJ183" i="7"/>
  <c r="AE183" i="7"/>
  <c r="BI130" i="7"/>
  <c r="AB93" i="7"/>
  <c r="X93" i="7"/>
  <c r="Y93" i="7"/>
  <c r="W93" i="7"/>
  <c r="AA94" i="7"/>
  <c r="BP92" i="7"/>
  <c r="BU92" i="7"/>
  <c r="BV92" i="7" s="1"/>
  <c r="BQ92" i="7"/>
  <c r="AP275" i="7"/>
  <c r="BS93" i="7"/>
  <c r="Z93" i="7"/>
  <c r="BC131" i="7"/>
  <c r="BH131" i="7"/>
  <c r="BD131" i="7"/>
  <c r="BE131" i="7"/>
  <c r="BG132" i="7"/>
  <c r="AI184" i="7"/>
  <c r="AG182" i="7"/>
  <c r="AJ182" i="7"/>
  <c r="AF182" i="7"/>
  <c r="AE182" i="7"/>
  <c r="AP276" i="7"/>
  <c r="AP271" i="7"/>
  <c r="AH184" i="7"/>
  <c r="AH185" i="7"/>
  <c r="G186" i="7"/>
  <c r="CA186" i="7" s="1"/>
  <c r="G187" i="7"/>
  <c r="CA187" i="7" s="1"/>
  <c r="H274" i="7"/>
  <c r="CI274" i="7" s="1"/>
  <c r="H278" i="7"/>
  <c r="CI278" i="7" s="1"/>
  <c r="F94" i="7"/>
  <c r="L93" i="7"/>
  <c r="AY135" i="7" l="1"/>
  <c r="AZ135" i="7" s="1"/>
  <c r="BA132" i="7"/>
  <c r="AU134" i="7"/>
  <c r="AW134" i="7"/>
  <c r="AZ134" i="7"/>
  <c r="BA134" i="7" s="1"/>
  <c r="DB126" i="7"/>
  <c r="CJ139" i="7"/>
  <c r="CH139" i="7" s="1"/>
  <c r="CK138" i="7"/>
  <c r="CH138" i="7"/>
  <c r="CG138" i="7"/>
  <c r="CW128" i="7"/>
  <c r="CX128" i="7"/>
  <c r="DA128" i="7"/>
  <c r="CV128" i="7"/>
  <c r="BR94" i="7"/>
  <c r="BT95" i="7"/>
  <c r="DA127" i="7"/>
  <c r="CX127" i="7"/>
  <c r="CV127" i="7"/>
  <c r="CW127" i="7"/>
  <c r="DB125" i="7"/>
  <c r="CZ129" i="7"/>
  <c r="CZ130" i="7" s="1"/>
  <c r="AS109" i="7"/>
  <c r="CD125" i="7"/>
  <c r="CT124" i="7"/>
  <c r="CO126" i="7"/>
  <c r="CN126" i="7"/>
  <c r="CP126" i="7"/>
  <c r="CS126" i="7"/>
  <c r="BI131" i="7"/>
  <c r="CD124" i="7"/>
  <c r="AK183" i="7"/>
  <c r="BX129" i="7"/>
  <c r="BY129" i="7"/>
  <c r="AK182" i="7"/>
  <c r="CS125" i="7"/>
  <c r="CN125" i="7"/>
  <c r="CP125" i="7"/>
  <c r="CO125" i="7"/>
  <c r="CR127" i="7"/>
  <c r="AR110" i="7"/>
  <c r="AO110" i="7"/>
  <c r="AN110" i="7"/>
  <c r="AM110" i="7"/>
  <c r="AQ111" i="7"/>
  <c r="CB130" i="7"/>
  <c r="CC126" i="7"/>
  <c r="BZ126" i="7"/>
  <c r="AC93" i="7"/>
  <c r="BS94" i="7"/>
  <c r="Z94" i="7"/>
  <c r="BG133" i="7"/>
  <c r="BD132" i="7"/>
  <c r="BC132" i="7"/>
  <c r="BH132" i="7"/>
  <c r="BE132" i="7"/>
  <c r="AF184" i="7"/>
  <c r="AE184" i="7"/>
  <c r="AI186" i="7"/>
  <c r="AJ184" i="7"/>
  <c r="AG184" i="7"/>
  <c r="AP274" i="7"/>
  <c r="AH187" i="7"/>
  <c r="BU93" i="7"/>
  <c r="BV93" i="7" s="1"/>
  <c r="BP93" i="7"/>
  <c r="BQ93" i="7"/>
  <c r="AP278" i="7"/>
  <c r="AH186" i="7"/>
  <c r="Y94" i="7"/>
  <c r="W94" i="7"/>
  <c r="AB94" i="7"/>
  <c r="AA95" i="7"/>
  <c r="X94" i="7"/>
  <c r="AE185" i="7"/>
  <c r="AI187" i="7"/>
  <c r="AJ185" i="7"/>
  <c r="AG185" i="7"/>
  <c r="AF185" i="7"/>
  <c r="AY136" i="7"/>
  <c r="AY137" i="7" s="1"/>
  <c r="H277" i="7"/>
  <c r="CI277" i="7" s="1"/>
  <c r="G189" i="7"/>
  <c r="CA189" i="7" s="1"/>
  <c r="G188" i="7"/>
  <c r="CA188" i="7" s="1"/>
  <c r="F95" i="7"/>
  <c r="L94" i="7"/>
  <c r="AW135" i="7" l="1"/>
  <c r="AV135" i="7"/>
  <c r="AU135" i="7"/>
  <c r="DB128" i="7"/>
  <c r="CJ140" i="7"/>
  <c r="CJ141" i="7" s="1"/>
  <c r="CJ142" i="7" s="1"/>
  <c r="CK139" i="7"/>
  <c r="CL139" i="7" s="1"/>
  <c r="CG139" i="7"/>
  <c r="CF139" i="7"/>
  <c r="CL138" i="7"/>
  <c r="CT125" i="7"/>
  <c r="DB127" i="7"/>
  <c r="CX130" i="7"/>
  <c r="CW130" i="7"/>
  <c r="DA130" i="7"/>
  <c r="CV130" i="7"/>
  <c r="CT126" i="7"/>
  <c r="CZ131" i="7"/>
  <c r="BR95" i="7"/>
  <c r="BT96" i="7"/>
  <c r="CW129" i="7"/>
  <c r="CV129" i="7"/>
  <c r="CX129" i="7"/>
  <c r="DA129" i="7"/>
  <c r="AS110" i="7"/>
  <c r="BX130" i="7"/>
  <c r="BY130" i="7"/>
  <c r="CR128" i="7"/>
  <c r="CP127" i="7"/>
  <c r="CO127" i="7"/>
  <c r="CS127" i="7"/>
  <c r="CN127" i="7"/>
  <c r="AR111" i="7"/>
  <c r="AO111" i="7"/>
  <c r="AN111" i="7"/>
  <c r="AM111" i="7"/>
  <c r="AQ112" i="7"/>
  <c r="CB131" i="7"/>
  <c r="CD126" i="7"/>
  <c r="BZ127" i="7"/>
  <c r="CC127" i="7"/>
  <c r="BZ128" i="7"/>
  <c r="CC128" i="7"/>
  <c r="AK185" i="7"/>
  <c r="BA135" i="7"/>
  <c r="AV136" i="7"/>
  <c r="AU136" i="7"/>
  <c r="AZ136" i="7"/>
  <c r="AW136" i="7"/>
  <c r="BI132" i="7"/>
  <c r="BH133" i="7"/>
  <c r="BC133" i="7"/>
  <c r="BE133" i="7"/>
  <c r="BD133" i="7"/>
  <c r="AA96" i="7"/>
  <c r="AB95" i="7"/>
  <c r="X95" i="7"/>
  <c r="W95" i="7"/>
  <c r="Y95" i="7"/>
  <c r="BS95" i="7"/>
  <c r="Z95" i="7"/>
  <c r="AC94" i="7"/>
  <c r="AI189" i="7"/>
  <c r="AG187" i="7"/>
  <c r="AF187" i="7"/>
  <c r="AJ187" i="7"/>
  <c r="AE187" i="7"/>
  <c r="AK184" i="7"/>
  <c r="AH189" i="7"/>
  <c r="AJ186" i="7"/>
  <c r="AI188" i="7"/>
  <c r="AG186" i="7"/>
  <c r="AE186" i="7"/>
  <c r="AF186" i="7"/>
  <c r="BQ94" i="7"/>
  <c r="BU94" i="7"/>
  <c r="BV94" i="7" s="1"/>
  <c r="BP94" i="7"/>
  <c r="AP277" i="7"/>
  <c r="AV137" i="7"/>
  <c r="AU137" i="7"/>
  <c r="AZ137" i="7"/>
  <c r="AW137" i="7"/>
  <c r="AH188" i="7"/>
  <c r="BG134" i="7"/>
  <c r="AY138" i="7"/>
  <c r="G190" i="7"/>
  <c r="CA190" i="7" s="1"/>
  <c r="G191" i="7"/>
  <c r="CA191" i="7" s="1"/>
  <c r="F96" i="7"/>
  <c r="L95" i="7"/>
  <c r="CH140" i="7" l="1"/>
  <c r="DB130" i="7"/>
  <c r="CT127" i="7"/>
  <c r="CK140" i="7"/>
  <c r="DB129" i="7"/>
  <c r="CK141" i="7"/>
  <c r="CF141" i="7"/>
  <c r="CG140" i="7"/>
  <c r="CG141" i="7"/>
  <c r="CH141" i="7"/>
  <c r="CF140" i="7"/>
  <c r="BT97" i="7"/>
  <c r="BR96" i="7"/>
  <c r="DA131" i="7"/>
  <c r="CW131" i="7"/>
  <c r="CV131" i="7"/>
  <c r="CX131" i="7"/>
  <c r="CZ132" i="7"/>
  <c r="AS111" i="7"/>
  <c r="CG142" i="7"/>
  <c r="CH142" i="7"/>
  <c r="CF142" i="7"/>
  <c r="CK142" i="7"/>
  <c r="AC95" i="7"/>
  <c r="CJ143" i="7"/>
  <c r="CD128" i="7"/>
  <c r="CS128" i="7"/>
  <c r="CN128" i="7"/>
  <c r="CO128" i="7"/>
  <c r="CP128" i="7"/>
  <c r="BA137" i="7"/>
  <c r="BY131" i="7"/>
  <c r="BX131" i="7"/>
  <c r="CR129" i="7"/>
  <c r="AR112" i="7"/>
  <c r="AO112" i="7"/>
  <c r="AN112" i="7"/>
  <c r="AM112" i="7"/>
  <c r="AQ113" i="7"/>
  <c r="CB132" i="7"/>
  <c r="CC129" i="7"/>
  <c r="BZ129" i="7"/>
  <c r="CD127" i="7"/>
  <c r="AK186" i="7"/>
  <c r="BA136" i="7"/>
  <c r="AK187" i="7"/>
  <c r="BE134" i="7"/>
  <c r="BC134" i="7"/>
  <c r="BH134" i="7"/>
  <c r="BD134" i="7"/>
  <c r="BG135" i="7"/>
  <c r="AH191" i="7"/>
  <c r="BP95" i="7"/>
  <c r="BQ95" i="7"/>
  <c r="BU95" i="7"/>
  <c r="BV95" i="7" s="1"/>
  <c r="AB96" i="7"/>
  <c r="Y96" i="7"/>
  <c r="X96" i="7"/>
  <c r="W96" i="7"/>
  <c r="AA97" i="7"/>
  <c r="AW138" i="7"/>
  <c r="AV138" i="7"/>
  <c r="AU138" i="7"/>
  <c r="AZ138" i="7"/>
  <c r="AJ188" i="7"/>
  <c r="AI190" i="7"/>
  <c r="AG188" i="7"/>
  <c r="AF188" i="7"/>
  <c r="AE188" i="7"/>
  <c r="BS96" i="7"/>
  <c r="Z96" i="7"/>
  <c r="AH190" i="7"/>
  <c r="AI191" i="7"/>
  <c r="AJ189" i="7"/>
  <c r="AG189" i="7"/>
  <c r="AF189" i="7"/>
  <c r="AE189" i="7"/>
  <c r="AY139" i="7"/>
  <c r="BI133" i="7"/>
  <c r="G192" i="7"/>
  <c r="CA192" i="7" s="1"/>
  <c r="G193" i="7"/>
  <c r="CA193" i="7" s="1"/>
  <c r="F97" i="7"/>
  <c r="L96" i="7"/>
  <c r="CL140" i="7" l="1"/>
  <c r="CL141" i="7"/>
  <c r="DB131" i="7"/>
  <c r="CL142" i="7"/>
  <c r="CW132" i="7"/>
  <c r="DA132" i="7"/>
  <c r="CV132" i="7"/>
  <c r="CX132" i="7"/>
  <c r="CZ133" i="7"/>
  <c r="BT98" i="7"/>
  <c r="BR97" i="7"/>
  <c r="AC96" i="7"/>
  <c r="CG143" i="7"/>
  <c r="CK143" i="7"/>
  <c r="CF143" i="7"/>
  <c r="CH143" i="7"/>
  <c r="CJ144" i="7"/>
  <c r="CD129" i="7"/>
  <c r="BA138" i="7"/>
  <c r="BX132" i="7"/>
  <c r="BY132" i="7"/>
  <c r="CR130" i="7"/>
  <c r="CR131" i="7" s="1"/>
  <c r="CS129" i="7"/>
  <c r="CN129" i="7"/>
  <c r="CO129" i="7"/>
  <c r="CP129" i="7"/>
  <c r="AS112" i="7"/>
  <c r="CT128" i="7"/>
  <c r="AR113" i="7"/>
  <c r="AO113" i="7"/>
  <c r="AN113" i="7"/>
  <c r="AM113" i="7"/>
  <c r="AQ114" i="7"/>
  <c r="CB133" i="7"/>
  <c r="CC131" i="7"/>
  <c r="BZ131" i="7"/>
  <c r="CC130" i="7"/>
  <c r="BZ130" i="7"/>
  <c r="AK188" i="7"/>
  <c r="AK189" i="7"/>
  <c r="BI134" i="7"/>
  <c r="BS97" i="7"/>
  <c r="Z97" i="7"/>
  <c r="AH192" i="7"/>
  <c r="BU96" i="7"/>
  <c r="BV96" i="7" s="1"/>
  <c r="BQ96" i="7"/>
  <c r="BP96" i="7"/>
  <c r="AH193" i="7"/>
  <c r="AJ191" i="7"/>
  <c r="AG191" i="7"/>
  <c r="AI193" i="7"/>
  <c r="AF191" i="7"/>
  <c r="AE191" i="7"/>
  <c r="AB97" i="7"/>
  <c r="AA98" i="7"/>
  <c r="W97" i="7"/>
  <c r="Y97" i="7"/>
  <c r="X97" i="7"/>
  <c r="BD135" i="7"/>
  <c r="BC135" i="7"/>
  <c r="BE135" i="7"/>
  <c r="BH135" i="7"/>
  <c r="AJ190" i="7"/>
  <c r="AI192" i="7"/>
  <c r="AG190" i="7"/>
  <c r="AF190" i="7"/>
  <c r="AE190" i="7"/>
  <c r="AW139" i="7"/>
  <c r="AU139" i="7"/>
  <c r="AZ139" i="7"/>
  <c r="AV139" i="7"/>
  <c r="BG136" i="7"/>
  <c r="AY140" i="7"/>
  <c r="G195" i="7"/>
  <c r="CA195" i="7" s="1"/>
  <c r="G194" i="7"/>
  <c r="CA194" i="7" s="1"/>
  <c r="F98" i="7"/>
  <c r="L97" i="7"/>
  <c r="DB132" i="7" l="1"/>
  <c r="CT129" i="7"/>
  <c r="BT99" i="7"/>
  <c r="BR98" i="7"/>
  <c r="DA133" i="7"/>
  <c r="CX133" i="7"/>
  <c r="CV133" i="7"/>
  <c r="CW133" i="7"/>
  <c r="CZ134" i="7"/>
  <c r="CL143" i="7"/>
  <c r="CF144" i="7"/>
  <c r="CK144" i="7"/>
  <c r="CG144" i="7"/>
  <c r="CH144" i="7"/>
  <c r="AS113" i="7"/>
  <c r="CJ145" i="7"/>
  <c r="CR132" i="7"/>
  <c r="CR133" i="7" s="1"/>
  <c r="CS131" i="7"/>
  <c r="CN131" i="7"/>
  <c r="CP131" i="7"/>
  <c r="CO131" i="7"/>
  <c r="CO130" i="7"/>
  <c r="CP130" i="7"/>
  <c r="CN130" i="7"/>
  <c r="CS130" i="7"/>
  <c r="CD130" i="7"/>
  <c r="BY133" i="7"/>
  <c r="BX133" i="7"/>
  <c r="AR114" i="7"/>
  <c r="AO114" i="7"/>
  <c r="AN114" i="7"/>
  <c r="AM114" i="7"/>
  <c r="AQ115" i="7"/>
  <c r="CB134" i="7"/>
  <c r="BZ133" i="7"/>
  <c r="CC133" i="7"/>
  <c r="CC132" i="7"/>
  <c r="BZ132" i="7"/>
  <c r="CD131" i="7"/>
  <c r="BA139" i="7"/>
  <c r="BU97" i="7"/>
  <c r="BV97" i="7" s="1"/>
  <c r="BP97" i="7"/>
  <c r="BQ97" i="7"/>
  <c r="Y98" i="7"/>
  <c r="AA99" i="7"/>
  <c r="X98" i="7"/>
  <c r="W98" i="7"/>
  <c r="AB98" i="7"/>
  <c r="AH194" i="7"/>
  <c r="AE192" i="7"/>
  <c r="AI194" i="7"/>
  <c r="AJ192" i="7"/>
  <c r="AG192" i="7"/>
  <c r="AF192" i="7"/>
  <c r="AC97" i="7"/>
  <c r="AH195" i="7"/>
  <c r="AK190" i="7"/>
  <c r="BE136" i="7"/>
  <c r="BC136" i="7"/>
  <c r="BH136" i="7"/>
  <c r="BD136" i="7"/>
  <c r="BG137" i="7"/>
  <c r="AI195" i="7"/>
  <c r="AG193" i="7"/>
  <c r="AJ193" i="7"/>
  <c r="AE193" i="7"/>
  <c r="AF193" i="7"/>
  <c r="AV140" i="7"/>
  <c r="AU140" i="7"/>
  <c r="AW140" i="7"/>
  <c r="AZ140" i="7"/>
  <c r="BI135" i="7"/>
  <c r="AK191" i="7"/>
  <c r="AY141" i="7"/>
  <c r="BS98" i="7"/>
  <c r="Z98" i="7"/>
  <c r="G197" i="7"/>
  <c r="CA197" i="7" s="1"/>
  <c r="G196" i="7"/>
  <c r="CA196" i="7" s="1"/>
  <c r="F99" i="7"/>
  <c r="L98" i="7"/>
  <c r="DB133" i="7" l="1"/>
  <c r="CT131" i="7"/>
  <c r="CX134" i="7"/>
  <c r="CV134" i="7"/>
  <c r="DA134" i="7"/>
  <c r="CW134" i="7"/>
  <c r="CZ135" i="7"/>
  <c r="AK193" i="7"/>
  <c r="BR99" i="7"/>
  <c r="BT100" i="7"/>
  <c r="CL144" i="7"/>
  <c r="CT130" i="7"/>
  <c r="CK145" i="7"/>
  <c r="CG145" i="7"/>
  <c r="CH145" i="7"/>
  <c r="CF145" i="7"/>
  <c r="CJ146" i="7"/>
  <c r="BI136" i="7"/>
  <c r="CD133" i="7"/>
  <c r="BY134" i="7"/>
  <c r="BX134" i="7"/>
  <c r="CR134" i="7"/>
  <c r="CO133" i="7"/>
  <c r="CP133" i="7"/>
  <c r="CS133" i="7"/>
  <c r="CN133" i="7"/>
  <c r="AS114" i="7"/>
  <c r="CO132" i="7"/>
  <c r="CP132" i="7"/>
  <c r="CN132" i="7"/>
  <c r="CS132" i="7"/>
  <c r="AR115" i="7"/>
  <c r="AO115" i="7"/>
  <c r="AN115" i="7"/>
  <c r="AM115" i="7"/>
  <c r="AQ116" i="7"/>
  <c r="CB135" i="7"/>
  <c r="CD132" i="7"/>
  <c r="CC134" i="7"/>
  <c r="BZ134" i="7"/>
  <c r="AK192" i="7"/>
  <c r="BA140" i="7"/>
  <c r="AJ195" i="7"/>
  <c r="AG195" i="7"/>
  <c r="AI197" i="7"/>
  <c r="AF195" i="7"/>
  <c r="AE195" i="7"/>
  <c r="BH137" i="7"/>
  <c r="BE137" i="7"/>
  <c r="BD137" i="7"/>
  <c r="BC137" i="7"/>
  <c r="AF194" i="7"/>
  <c r="AG194" i="7"/>
  <c r="AI196" i="7"/>
  <c r="AJ194" i="7"/>
  <c r="AE194" i="7"/>
  <c r="BS99" i="7"/>
  <c r="Z99" i="7"/>
  <c r="BU98" i="7"/>
  <c r="BV98" i="7" s="1"/>
  <c r="BQ98" i="7"/>
  <c r="BP98" i="7"/>
  <c r="AH196" i="7"/>
  <c r="BG138" i="7"/>
  <c r="AW141" i="7"/>
  <c r="AZ141" i="7"/>
  <c r="BA141" i="7" s="1"/>
  <c r="AV141" i="7"/>
  <c r="AU141" i="7"/>
  <c r="AH197" i="7"/>
  <c r="AY142" i="7"/>
  <c r="AC98" i="7"/>
  <c r="X99" i="7"/>
  <c r="W99" i="7"/>
  <c r="AB99" i="7"/>
  <c r="AA100" i="7"/>
  <c r="Y99" i="7"/>
  <c r="G198" i="7"/>
  <c r="CA198" i="7" s="1"/>
  <c r="G199" i="7"/>
  <c r="CA199" i="7" s="1"/>
  <c r="F100" i="7"/>
  <c r="L99" i="7"/>
  <c r="DB134" i="7" l="1"/>
  <c r="BR100" i="7"/>
  <c r="BT101" i="7"/>
  <c r="DA135" i="7"/>
  <c r="CV135" i="7"/>
  <c r="CW135" i="7"/>
  <c r="CX135" i="7"/>
  <c r="CZ136" i="7"/>
  <c r="CL145" i="7"/>
  <c r="CT132" i="7"/>
  <c r="CT133" i="7"/>
  <c r="CF146" i="7"/>
  <c r="CH146" i="7"/>
  <c r="CK146" i="7"/>
  <c r="CG146" i="7"/>
  <c r="CJ147" i="7"/>
  <c r="CJ148" i="7" s="1"/>
  <c r="AK194" i="7"/>
  <c r="AS115" i="7"/>
  <c r="CP134" i="7"/>
  <c r="CS134" i="7"/>
  <c r="CN134" i="7"/>
  <c r="CO134" i="7"/>
  <c r="CD134" i="7"/>
  <c r="BZ135" i="7"/>
  <c r="BY135" i="7"/>
  <c r="BX135" i="7"/>
  <c r="CR135" i="7"/>
  <c r="AR116" i="7"/>
  <c r="AO116" i="7"/>
  <c r="AN116" i="7"/>
  <c r="AM116" i="7"/>
  <c r="AQ117" i="7"/>
  <c r="CC135" i="7"/>
  <c r="CB136" i="7"/>
  <c r="AK195" i="7"/>
  <c r="BI137" i="7"/>
  <c r="BS100" i="7"/>
  <c r="Z100" i="7"/>
  <c r="BU99" i="7"/>
  <c r="BV99" i="7" s="1"/>
  <c r="BP99" i="7"/>
  <c r="BQ99" i="7"/>
  <c r="AH198" i="7"/>
  <c r="BC138" i="7"/>
  <c r="BH138" i="7"/>
  <c r="BE138" i="7"/>
  <c r="BD138" i="7"/>
  <c r="AC99" i="7"/>
  <c r="AZ142" i="7"/>
  <c r="AW142" i="7"/>
  <c r="AV142" i="7"/>
  <c r="AU142" i="7"/>
  <c r="BG139" i="7"/>
  <c r="AY143" i="7"/>
  <c r="W100" i="7"/>
  <c r="AB100" i="7"/>
  <c r="X100" i="7"/>
  <c r="Y100" i="7"/>
  <c r="AA101" i="7"/>
  <c r="AF197" i="7"/>
  <c r="AE197" i="7"/>
  <c r="AJ197" i="7"/>
  <c r="AG197" i="7"/>
  <c r="AI199" i="7"/>
  <c r="AI198" i="7"/>
  <c r="AG196" i="7"/>
  <c r="AE196" i="7"/>
  <c r="AJ196" i="7"/>
  <c r="AF196" i="7"/>
  <c r="AH199" i="7"/>
  <c r="G200" i="7"/>
  <c r="CA200" i="7" s="1"/>
  <c r="G201" i="7"/>
  <c r="CA201" i="7" s="1"/>
  <c r="F101" i="7"/>
  <c r="L100" i="7"/>
  <c r="DB135" i="7" l="1"/>
  <c r="CL146" i="7"/>
  <c r="CT134" i="7"/>
  <c r="CX136" i="7"/>
  <c r="DA136" i="7"/>
  <c r="CW136" i="7"/>
  <c r="CV136" i="7"/>
  <c r="CZ137" i="7"/>
  <c r="BT102" i="7"/>
  <c r="BR101" i="7"/>
  <c r="BA142" i="7"/>
  <c r="CG148" i="7"/>
  <c r="CK148" i="7"/>
  <c r="CH148" i="7"/>
  <c r="CF148" i="7"/>
  <c r="CH147" i="7"/>
  <c r="CK147" i="7"/>
  <c r="CG147" i="7"/>
  <c r="CF147" i="7"/>
  <c r="CJ149" i="7"/>
  <c r="CD135" i="7"/>
  <c r="CC136" i="7"/>
  <c r="BY136" i="7"/>
  <c r="BX136" i="7"/>
  <c r="CR136" i="7"/>
  <c r="CR137" i="7" s="1"/>
  <c r="CN135" i="7"/>
  <c r="CO135" i="7"/>
  <c r="CP135" i="7"/>
  <c r="CS135" i="7"/>
  <c r="BI138" i="7"/>
  <c r="AS116" i="7"/>
  <c r="AK197" i="7"/>
  <c r="AR117" i="7"/>
  <c r="AO117" i="7"/>
  <c r="AN117" i="7"/>
  <c r="AM117" i="7"/>
  <c r="AQ118" i="7"/>
  <c r="BZ136" i="7"/>
  <c r="CB137" i="7"/>
  <c r="AB101" i="7"/>
  <c r="AA102" i="7"/>
  <c r="X101" i="7"/>
  <c r="Y101" i="7"/>
  <c r="W101" i="7"/>
  <c r="BG140" i="7"/>
  <c r="AV143" i="7"/>
  <c r="AU143" i="7"/>
  <c r="AW143" i="7"/>
  <c r="AZ143" i="7"/>
  <c r="BE139" i="7"/>
  <c r="BH139" i="7"/>
  <c r="BD139" i="7"/>
  <c r="BC139" i="7"/>
  <c r="AC100" i="7"/>
  <c r="AK196" i="7"/>
  <c r="AG198" i="7"/>
  <c r="AF198" i="7"/>
  <c r="AE198" i="7"/>
  <c r="AJ198" i="7"/>
  <c r="AI200" i="7"/>
  <c r="Z101" i="7"/>
  <c r="BS101" i="7"/>
  <c r="AH201" i="7"/>
  <c r="AF199" i="7"/>
  <c r="AJ199" i="7"/>
  <c r="AE199" i="7"/>
  <c r="AG199" i="7"/>
  <c r="AI201" i="7"/>
  <c r="AH200" i="7"/>
  <c r="BU100" i="7"/>
  <c r="BV100" i="7" s="1"/>
  <c r="BQ100" i="7"/>
  <c r="BP100" i="7"/>
  <c r="AY144" i="7"/>
  <c r="G203" i="7"/>
  <c r="CA203" i="7" s="1"/>
  <c r="G202" i="7"/>
  <c r="CA202" i="7" s="1"/>
  <c r="F102" i="7"/>
  <c r="L101" i="7"/>
  <c r="CT135" i="7" l="1"/>
  <c r="DB136" i="7"/>
  <c r="AC101" i="7"/>
  <c r="CZ138" i="7"/>
  <c r="CZ139" i="7" s="1"/>
  <c r="CX137" i="7"/>
  <c r="CV137" i="7"/>
  <c r="DA137" i="7"/>
  <c r="CW137" i="7"/>
  <c r="AS117" i="7"/>
  <c r="BT103" i="7"/>
  <c r="BR102" i="7"/>
  <c r="CL147" i="7"/>
  <c r="CG149" i="7"/>
  <c r="CH149" i="7"/>
  <c r="CF149" i="7"/>
  <c r="CK149" i="7"/>
  <c r="CJ150" i="7"/>
  <c r="CL148" i="7"/>
  <c r="CD136" i="7"/>
  <c r="BI139" i="7"/>
  <c r="BZ137" i="7"/>
  <c r="BY137" i="7"/>
  <c r="BX137" i="7"/>
  <c r="AK198" i="7"/>
  <c r="CP136" i="7"/>
  <c r="CS136" i="7"/>
  <c r="CO136" i="7"/>
  <c r="CN136" i="7"/>
  <c r="CR138" i="7"/>
  <c r="CS137" i="7"/>
  <c r="CN137" i="7"/>
  <c r="CO137" i="7"/>
  <c r="CP137" i="7"/>
  <c r="AR118" i="7"/>
  <c r="AO118" i="7"/>
  <c r="AN118" i="7"/>
  <c r="AM118" i="7"/>
  <c r="AQ119" i="7"/>
  <c r="CC137" i="7"/>
  <c r="CB138" i="7"/>
  <c r="AK199" i="7"/>
  <c r="AY145" i="7"/>
  <c r="BA143" i="7"/>
  <c r="AF200" i="7"/>
  <c r="AG200" i="7"/>
  <c r="AE200" i="7"/>
  <c r="AJ200" i="7"/>
  <c r="AI202" i="7"/>
  <c r="BS102" i="7"/>
  <c r="Z102" i="7"/>
  <c r="BE140" i="7"/>
  <c r="BD140" i="7"/>
  <c r="BC140" i="7"/>
  <c r="BH140" i="7"/>
  <c r="AH202" i="7"/>
  <c r="BG141" i="7"/>
  <c r="AG201" i="7"/>
  <c r="AJ201" i="7"/>
  <c r="AF201" i="7"/>
  <c r="AI203" i="7"/>
  <c r="AE201" i="7"/>
  <c r="AH203" i="7"/>
  <c r="Y102" i="7"/>
  <c r="X102" i="7"/>
  <c r="AB102" i="7"/>
  <c r="W102" i="7"/>
  <c r="AA103" i="7"/>
  <c r="AZ144" i="7"/>
  <c r="AW144" i="7"/>
  <c r="AV144" i="7"/>
  <c r="AU144" i="7"/>
  <c r="BQ101" i="7"/>
  <c r="BP101" i="7"/>
  <c r="BU101" i="7"/>
  <c r="BV101" i="7" s="1"/>
  <c r="G204" i="7"/>
  <c r="CA204" i="7" s="1"/>
  <c r="G205" i="7"/>
  <c r="CA205" i="7" s="1"/>
  <c r="F103" i="7"/>
  <c r="L102" i="7"/>
  <c r="BA144" i="7" l="1"/>
  <c r="CD137" i="7"/>
  <c r="CT136" i="7"/>
  <c r="BT104" i="7"/>
  <c r="BR103" i="7"/>
  <c r="CX139" i="7"/>
  <c r="CV139" i="7"/>
  <c r="DA139" i="7"/>
  <c r="CW139" i="7"/>
  <c r="DB137" i="7"/>
  <c r="CV138" i="7"/>
  <c r="CW138" i="7"/>
  <c r="CX138" i="7"/>
  <c r="DA138" i="7"/>
  <c r="CZ140" i="7"/>
  <c r="BI140" i="7"/>
  <c r="AK200" i="7"/>
  <c r="CT137" i="7"/>
  <c r="CH150" i="7"/>
  <c r="CF150" i="7"/>
  <c r="CK150" i="7"/>
  <c r="CG150" i="7"/>
  <c r="CJ151" i="7"/>
  <c r="CL149" i="7"/>
  <c r="AS118" i="7"/>
  <c r="BZ138" i="7"/>
  <c r="BY138" i="7"/>
  <c r="BX138" i="7"/>
  <c r="CN138" i="7"/>
  <c r="CO138" i="7"/>
  <c r="CP138" i="7"/>
  <c r="CS138" i="7"/>
  <c r="CR139" i="7"/>
  <c r="AR119" i="7"/>
  <c r="AO119" i="7"/>
  <c r="AN119" i="7"/>
  <c r="AM119" i="7"/>
  <c r="AQ120" i="7"/>
  <c r="CC138" i="7"/>
  <c r="CB139" i="7"/>
  <c r="AK201" i="7"/>
  <c r="BS103" i="7"/>
  <c r="Z103" i="7"/>
  <c r="AC102" i="7"/>
  <c r="AH205" i="7"/>
  <c r="AJ202" i="7"/>
  <c r="AI204" i="7"/>
  <c r="AE202" i="7"/>
  <c r="AG202" i="7"/>
  <c r="AF202" i="7"/>
  <c r="AB103" i="7"/>
  <c r="AA104" i="7"/>
  <c r="Y103" i="7"/>
  <c r="W103" i="7"/>
  <c r="X103" i="7"/>
  <c r="BQ102" i="7"/>
  <c r="BU102" i="7"/>
  <c r="BV102" i="7" s="1"/>
  <c r="BP102" i="7"/>
  <c r="AF203" i="7"/>
  <c r="AI205" i="7"/>
  <c r="AG203" i="7"/>
  <c r="AE203" i="7"/>
  <c r="AJ203" i="7"/>
  <c r="AH204" i="7"/>
  <c r="BG142" i="7"/>
  <c r="BD141" i="7"/>
  <c r="BH141" i="7"/>
  <c r="BE141" i="7"/>
  <c r="BC141" i="7"/>
  <c r="AZ145" i="7"/>
  <c r="AW145" i="7"/>
  <c r="AV145" i="7"/>
  <c r="AU145" i="7"/>
  <c r="AY146" i="7"/>
  <c r="G206" i="7"/>
  <c r="CA206" i="7" s="1"/>
  <c r="G207" i="7"/>
  <c r="CA207" i="7" s="1"/>
  <c r="F104" i="7"/>
  <c r="L103" i="7"/>
  <c r="DB139" i="7" l="1"/>
  <c r="DB138" i="7"/>
  <c r="CD138" i="7"/>
  <c r="CW140" i="7"/>
  <c r="CV140" i="7"/>
  <c r="CX140" i="7"/>
  <c r="DA140" i="7"/>
  <c r="BT105" i="7"/>
  <c r="BR104" i="7"/>
  <c r="CZ141" i="7"/>
  <c r="CL150" i="7"/>
  <c r="AS119" i="7"/>
  <c r="CK151" i="7"/>
  <c r="CF151" i="7"/>
  <c r="CG151" i="7"/>
  <c r="CH151" i="7"/>
  <c r="CJ152" i="7"/>
  <c r="BZ139" i="7"/>
  <c r="BX139" i="7"/>
  <c r="BY139" i="7"/>
  <c r="CR140" i="7"/>
  <c r="CP139" i="7"/>
  <c r="CS139" i="7"/>
  <c r="CN139" i="7"/>
  <c r="CO139" i="7"/>
  <c r="CT138" i="7"/>
  <c r="AR120" i="7"/>
  <c r="AO120" i="7"/>
  <c r="AN120" i="7"/>
  <c r="AM120" i="7"/>
  <c r="AQ121" i="7"/>
  <c r="CC139" i="7"/>
  <c r="CB140" i="7"/>
  <c r="BA145" i="7"/>
  <c r="AF205" i="7"/>
  <c r="AE205" i="7"/>
  <c r="AJ205" i="7"/>
  <c r="AG205" i="7"/>
  <c r="AI207" i="7"/>
  <c r="AI206" i="7"/>
  <c r="AE204" i="7"/>
  <c r="AJ204" i="7"/>
  <c r="AG204" i="7"/>
  <c r="AF204" i="7"/>
  <c r="AU146" i="7"/>
  <c r="AW146" i="7"/>
  <c r="AV146" i="7"/>
  <c r="AZ146" i="7"/>
  <c r="AY147" i="7"/>
  <c r="BI141" i="7"/>
  <c r="AK202" i="7"/>
  <c r="AH207" i="7"/>
  <c r="BD142" i="7"/>
  <c r="BC142" i="7"/>
  <c r="BE142" i="7"/>
  <c r="BH142" i="7"/>
  <c r="BG143" i="7"/>
  <c r="AH206" i="7"/>
  <c r="BQ103" i="7"/>
  <c r="BU103" i="7"/>
  <c r="BV103" i="7" s="1"/>
  <c r="BP103" i="7"/>
  <c r="AK203" i="7"/>
  <c r="AC103" i="7"/>
  <c r="AA105" i="7"/>
  <c r="Y104" i="7"/>
  <c r="X104" i="7"/>
  <c r="W104" i="7"/>
  <c r="AB104" i="7"/>
  <c r="BS104" i="7"/>
  <c r="Z104" i="7"/>
  <c r="G208" i="7"/>
  <c r="CA208" i="7" s="1"/>
  <c r="G209" i="7"/>
  <c r="CA209" i="7" s="1"/>
  <c r="F105" i="7"/>
  <c r="L104" i="7"/>
  <c r="DB140" i="7" l="1"/>
  <c r="CL151" i="7"/>
  <c r="CV141" i="7"/>
  <c r="CW141" i="7"/>
  <c r="CX141" i="7"/>
  <c r="DA141" i="7"/>
  <c r="CZ142" i="7"/>
  <c r="BT106" i="7"/>
  <c r="BR105" i="7"/>
  <c r="BI142" i="7"/>
  <c r="CT139" i="7"/>
  <c r="AS120" i="7"/>
  <c r="CD139" i="7"/>
  <c r="CH152" i="7"/>
  <c r="CG152" i="7"/>
  <c r="CK152" i="7"/>
  <c r="CF152" i="7"/>
  <c r="AK205" i="7"/>
  <c r="CJ153" i="7"/>
  <c r="CJ154" i="7" s="1"/>
  <c r="CN140" i="7"/>
  <c r="CO140" i="7"/>
  <c r="CP140" i="7"/>
  <c r="CS140" i="7"/>
  <c r="BX140" i="7"/>
  <c r="BY140" i="7"/>
  <c r="CR141" i="7"/>
  <c r="AK204" i="7"/>
  <c r="AR121" i="7"/>
  <c r="AO121" i="7"/>
  <c r="AN121" i="7"/>
  <c r="AM121" i="7"/>
  <c r="AQ122" i="7"/>
  <c r="BZ140" i="7"/>
  <c r="CC140" i="7"/>
  <c r="CB141" i="7"/>
  <c r="AC104" i="7"/>
  <c r="AW147" i="7"/>
  <c r="AU147" i="7"/>
  <c r="AZ147" i="7"/>
  <c r="AV147" i="7"/>
  <c r="AI209" i="7"/>
  <c r="AG207" i="7"/>
  <c r="AF207" i="7"/>
  <c r="AE207" i="7"/>
  <c r="AJ207" i="7"/>
  <c r="BC143" i="7"/>
  <c r="BE143" i="7"/>
  <c r="BD143" i="7"/>
  <c r="BH143" i="7"/>
  <c r="AY148" i="7"/>
  <c r="AY149" i="7" s="1"/>
  <c r="BP104" i="7"/>
  <c r="BQ104" i="7"/>
  <c r="BU104" i="7"/>
  <c r="BV104" i="7" s="1"/>
  <c r="BA146" i="7"/>
  <c r="BS105" i="7"/>
  <c r="Z105" i="7"/>
  <c r="BG144" i="7"/>
  <c r="AH209" i="7"/>
  <c r="AH208" i="7"/>
  <c r="AB105" i="7"/>
  <c r="AA106" i="7"/>
  <c r="Y105" i="7"/>
  <c r="X105" i="7"/>
  <c r="W105" i="7"/>
  <c r="AJ206" i="7"/>
  <c r="AG206" i="7"/>
  <c r="AE206" i="7"/>
  <c r="AI208" i="7"/>
  <c r="AF206" i="7"/>
  <c r="G211" i="7"/>
  <c r="CA211" i="7" s="1"/>
  <c r="G210" i="7"/>
  <c r="CA210" i="7" s="1"/>
  <c r="F106" i="7"/>
  <c r="L105" i="7"/>
  <c r="CL152" i="7" l="1"/>
  <c r="DB141" i="7"/>
  <c r="BR106" i="7"/>
  <c r="BT107" i="7"/>
  <c r="CZ143" i="7"/>
  <c r="CX142" i="7"/>
  <c r="DA142" i="7"/>
  <c r="CW142" i="7"/>
  <c r="CV142" i="7"/>
  <c r="CT140" i="7"/>
  <c r="CH154" i="7"/>
  <c r="CG154" i="7"/>
  <c r="CK154" i="7"/>
  <c r="CF154" i="7"/>
  <c r="CJ155" i="7"/>
  <c r="CF153" i="7"/>
  <c r="CH153" i="7"/>
  <c r="CG153" i="7"/>
  <c r="CK153" i="7"/>
  <c r="AS121" i="7"/>
  <c r="BI143" i="7"/>
  <c r="CD140" i="7"/>
  <c r="CR142" i="7"/>
  <c r="CR143" i="7" s="1"/>
  <c r="CN141" i="7"/>
  <c r="CO141" i="7"/>
  <c r="CP141" i="7"/>
  <c r="CS141" i="7"/>
  <c r="BX141" i="7"/>
  <c r="BY141" i="7"/>
  <c r="AR122" i="7"/>
  <c r="AO122" i="7"/>
  <c r="AN122" i="7"/>
  <c r="AM122" i="7"/>
  <c r="AQ123" i="7"/>
  <c r="CC141" i="7"/>
  <c r="BZ141" i="7"/>
  <c r="CB142" i="7"/>
  <c r="AU149" i="7"/>
  <c r="AZ149" i="7"/>
  <c r="AW149" i="7"/>
  <c r="AV149" i="7"/>
  <c r="AY150" i="7"/>
  <c r="AF208" i="7"/>
  <c r="AG208" i="7"/>
  <c r="AE208" i="7"/>
  <c r="AJ208" i="7"/>
  <c r="AI210" i="7"/>
  <c r="AI211" i="7"/>
  <c r="AF209" i="7"/>
  <c r="AE209" i="7"/>
  <c r="AJ209" i="7"/>
  <c r="AG209" i="7"/>
  <c r="BH144" i="7"/>
  <c r="BC144" i="7"/>
  <c r="BE144" i="7"/>
  <c r="BD144" i="7"/>
  <c r="AC105" i="7"/>
  <c r="AK206" i="7"/>
  <c r="AB106" i="7"/>
  <c r="AA107" i="7"/>
  <c r="Y106" i="7"/>
  <c r="X106" i="7"/>
  <c r="W106" i="7"/>
  <c r="BS106" i="7"/>
  <c r="Z106" i="7"/>
  <c r="AH210" i="7"/>
  <c r="BA147" i="7"/>
  <c r="AZ148" i="7"/>
  <c r="AW148" i="7"/>
  <c r="AV148" i="7"/>
  <c r="AU148" i="7"/>
  <c r="BG145" i="7"/>
  <c r="AH211" i="7"/>
  <c r="AK207" i="7"/>
  <c r="BU105" i="7"/>
  <c r="BV105" i="7" s="1"/>
  <c r="BP105" i="7"/>
  <c r="BQ105" i="7"/>
  <c r="G213" i="7"/>
  <c r="CA213" i="7" s="1"/>
  <c r="G212" i="7"/>
  <c r="CA212" i="7" s="1"/>
  <c r="F107" i="7"/>
  <c r="L106" i="7"/>
  <c r="DB142" i="7" l="1"/>
  <c r="CL153" i="7"/>
  <c r="CL154" i="7"/>
  <c r="CW143" i="7"/>
  <c r="CX143" i="7"/>
  <c r="CV143" i="7"/>
  <c r="DA143" i="7"/>
  <c r="BT108" i="7"/>
  <c r="BR107" i="7"/>
  <c r="CZ144" i="7"/>
  <c r="BA148" i="7"/>
  <c r="CT141" i="7"/>
  <c r="CH155" i="7"/>
  <c r="CK155" i="7"/>
  <c r="CF155" i="7"/>
  <c r="CG155" i="7"/>
  <c r="AS122" i="7"/>
  <c r="BI144" i="7"/>
  <c r="CJ156" i="7"/>
  <c r="CR144" i="7"/>
  <c r="CO143" i="7"/>
  <c r="CP143" i="7"/>
  <c r="CS143" i="7"/>
  <c r="CN143" i="7"/>
  <c r="BA149" i="7"/>
  <c r="BX142" i="7"/>
  <c r="BY142" i="7"/>
  <c r="CD141" i="7"/>
  <c r="CN142" i="7"/>
  <c r="CS142" i="7"/>
  <c r="CO142" i="7"/>
  <c r="CP142" i="7"/>
  <c r="AR123" i="7"/>
  <c r="AO123" i="7"/>
  <c r="AN123" i="7"/>
  <c r="AM123" i="7"/>
  <c r="AQ124" i="7"/>
  <c r="BZ142" i="7"/>
  <c r="CC142" i="7"/>
  <c r="CB143" i="7"/>
  <c r="AK208" i="7"/>
  <c r="AK209" i="7"/>
  <c r="AC106" i="7"/>
  <c r="BQ106" i="7"/>
  <c r="BP106" i="7"/>
  <c r="BU106" i="7"/>
  <c r="BV106" i="7" s="1"/>
  <c r="AW150" i="7"/>
  <c r="AV150" i="7"/>
  <c r="AU150" i="7"/>
  <c r="AZ150" i="7"/>
  <c r="AA108" i="7"/>
  <c r="X107" i="7"/>
  <c r="Y107" i="7"/>
  <c r="AB107" i="7"/>
  <c r="W107" i="7"/>
  <c r="BD145" i="7"/>
  <c r="BC145" i="7"/>
  <c r="BH145" i="7"/>
  <c r="BE145" i="7"/>
  <c r="AY151" i="7"/>
  <c r="BS107" i="7"/>
  <c r="Z107" i="7"/>
  <c r="AH212" i="7"/>
  <c r="AH213" i="7"/>
  <c r="BG146" i="7"/>
  <c r="AJ211" i="7"/>
  <c r="AF211" i="7"/>
  <c r="AE211" i="7"/>
  <c r="AI213" i="7"/>
  <c r="AG211" i="7"/>
  <c r="AJ210" i="7"/>
  <c r="AE210" i="7"/>
  <c r="AI212" i="7"/>
  <c r="AG210" i="7"/>
  <c r="AF210" i="7"/>
  <c r="G215" i="7"/>
  <c r="CA215" i="7" s="1"/>
  <c r="G214" i="7"/>
  <c r="CA214" i="7" s="1"/>
  <c r="F108" i="7"/>
  <c r="L107" i="7"/>
  <c r="DB143" i="7" l="1"/>
  <c r="CL155" i="7"/>
  <c r="CX144" i="7"/>
  <c r="CW144" i="7"/>
  <c r="DA144" i="7"/>
  <c r="DB144" i="7" s="1"/>
  <c r="CV144" i="7"/>
  <c r="BR108" i="7"/>
  <c r="BT109" i="7"/>
  <c r="CZ145" i="7"/>
  <c r="CT143" i="7"/>
  <c r="CT142" i="7"/>
  <c r="AS123" i="7"/>
  <c r="CK156" i="7"/>
  <c r="CF156" i="7"/>
  <c r="CG156" i="7"/>
  <c r="CH156" i="7"/>
  <c r="CJ157" i="7"/>
  <c r="CJ158" i="7" s="1"/>
  <c r="CD142" i="7"/>
  <c r="BX143" i="7"/>
  <c r="BY143" i="7"/>
  <c r="CP144" i="7"/>
  <c r="CN144" i="7"/>
  <c r="CS144" i="7"/>
  <c r="CO144" i="7"/>
  <c r="CR145" i="7"/>
  <c r="AR124" i="7"/>
  <c r="AO124" i="7"/>
  <c r="AN124" i="7"/>
  <c r="AM124" i="7"/>
  <c r="AQ125" i="7"/>
  <c r="BZ143" i="7"/>
  <c r="CC143" i="7"/>
  <c r="CD143" i="7" s="1"/>
  <c r="CB144" i="7"/>
  <c r="AC107" i="7"/>
  <c r="BI145" i="7"/>
  <c r="AK210" i="7"/>
  <c r="BS108" i="7"/>
  <c r="Z108" i="7"/>
  <c r="BP107" i="7"/>
  <c r="BQ107" i="7"/>
  <c r="BU107" i="7"/>
  <c r="BV107" i="7" s="1"/>
  <c r="AI215" i="7"/>
  <c r="AG213" i="7"/>
  <c r="AE213" i="7"/>
  <c r="AJ213" i="7"/>
  <c r="AF213" i="7"/>
  <c r="AH214" i="7"/>
  <c r="AH215" i="7"/>
  <c r="AK211" i="7"/>
  <c r="BC146" i="7"/>
  <c r="BH146" i="7"/>
  <c r="BE146" i="7"/>
  <c r="BD146" i="7"/>
  <c r="W108" i="7"/>
  <c r="AB108" i="7"/>
  <c r="Y108" i="7"/>
  <c r="AA109" i="7"/>
  <c r="X108" i="7"/>
  <c r="AU151" i="7"/>
  <c r="AZ151" i="7"/>
  <c r="AW151" i="7"/>
  <c r="AV151" i="7"/>
  <c r="AY152" i="7"/>
  <c r="BA150" i="7"/>
  <c r="AI214" i="7"/>
  <c r="AE212" i="7"/>
  <c r="AG212" i="7"/>
  <c r="AJ212" i="7"/>
  <c r="AF212" i="7"/>
  <c r="BG147" i="7"/>
  <c r="BG148" i="7" s="1"/>
  <c r="G217" i="7"/>
  <c r="CA217" i="7" s="1"/>
  <c r="G216" i="7"/>
  <c r="CA216" i="7" s="1"/>
  <c r="F109" i="7"/>
  <c r="L108" i="7"/>
  <c r="CL156" i="7" l="1"/>
  <c r="CV145" i="7"/>
  <c r="CW145" i="7"/>
  <c r="CX145" i="7"/>
  <c r="DA145" i="7"/>
  <c r="BT110" i="7"/>
  <c r="BR109" i="7"/>
  <c r="CZ146" i="7"/>
  <c r="CH158" i="7"/>
  <c r="CF158" i="7"/>
  <c r="CK158" i="7"/>
  <c r="CG158" i="7"/>
  <c r="CT144" i="7"/>
  <c r="AC108" i="7"/>
  <c r="CJ159" i="7"/>
  <c r="AS124" i="7"/>
  <c r="BA151" i="7"/>
  <c r="CG157" i="7"/>
  <c r="CK157" i="7"/>
  <c r="CH157" i="7"/>
  <c r="CF157" i="7"/>
  <c r="BX144" i="7"/>
  <c r="BY144" i="7"/>
  <c r="CR146" i="7"/>
  <c r="CP145" i="7"/>
  <c r="CO145" i="7"/>
  <c r="CS145" i="7"/>
  <c r="CN145" i="7"/>
  <c r="AR125" i="7"/>
  <c r="AO125" i="7"/>
  <c r="AN125" i="7"/>
  <c r="AM125" i="7"/>
  <c r="AQ126" i="7"/>
  <c r="CC144" i="7"/>
  <c r="BZ144" i="7"/>
  <c r="CB145" i="7"/>
  <c r="AK213" i="7"/>
  <c r="BD148" i="7"/>
  <c r="BH148" i="7"/>
  <c r="BE148" i="7"/>
  <c r="BC148" i="7"/>
  <c r="BS109" i="7"/>
  <c r="Z109" i="7"/>
  <c r="AH216" i="7"/>
  <c r="AG214" i="7"/>
  <c r="AE214" i="7"/>
  <c r="AJ214" i="7"/>
  <c r="AI216" i="7"/>
  <c r="AF214" i="7"/>
  <c r="W109" i="7"/>
  <c r="AA110" i="7"/>
  <c r="X109" i="7"/>
  <c r="AB109" i="7"/>
  <c r="Y109" i="7"/>
  <c r="AY153" i="7"/>
  <c r="AZ152" i="7"/>
  <c r="AW152" i="7"/>
  <c r="AV152" i="7"/>
  <c r="AU152" i="7"/>
  <c r="AH217" i="7"/>
  <c r="BH147" i="7"/>
  <c r="BE147" i="7"/>
  <c r="BD147" i="7"/>
  <c r="BC147" i="7"/>
  <c r="AJ215" i="7"/>
  <c r="AE215" i="7"/>
  <c r="AF215" i="7"/>
  <c r="AI217" i="7"/>
  <c r="AG215" i="7"/>
  <c r="BI146" i="7"/>
  <c r="AK212" i="7"/>
  <c r="BU108" i="7"/>
  <c r="BV108" i="7" s="1"/>
  <c r="BQ108" i="7"/>
  <c r="BP108" i="7"/>
  <c r="BG149" i="7"/>
  <c r="G218" i="7"/>
  <c r="CA218" i="7" s="1"/>
  <c r="G219" i="7"/>
  <c r="CA219" i="7" s="1"/>
  <c r="F110" i="7"/>
  <c r="L109" i="7"/>
  <c r="DB145" i="7" l="1"/>
  <c r="AS125" i="7"/>
  <c r="CW146" i="7"/>
  <c r="CX146" i="7"/>
  <c r="DA146" i="7"/>
  <c r="CV146" i="7"/>
  <c r="CZ147" i="7"/>
  <c r="BT111" i="7"/>
  <c r="BR110" i="7"/>
  <c r="CL158" i="7"/>
  <c r="CL157" i="7"/>
  <c r="CH159" i="7"/>
  <c r="CG159" i="7"/>
  <c r="CF159" i="7"/>
  <c r="CK159" i="7"/>
  <c r="CT145" i="7"/>
  <c r="CJ160" i="7"/>
  <c r="CJ161" i="7" s="1"/>
  <c r="BI148" i="7"/>
  <c r="CO146" i="7"/>
  <c r="CP146" i="7"/>
  <c r="CS146" i="7"/>
  <c r="CN146" i="7"/>
  <c r="CR147" i="7"/>
  <c r="BY145" i="7"/>
  <c r="BX145" i="7"/>
  <c r="CD144" i="7"/>
  <c r="AR126" i="7"/>
  <c r="AO126" i="7"/>
  <c r="AN126" i="7"/>
  <c r="AM126" i="7"/>
  <c r="AQ127" i="7"/>
  <c r="CC145" i="7"/>
  <c r="BZ145" i="7"/>
  <c r="CB146" i="7"/>
  <c r="AK215" i="7"/>
  <c r="BI147" i="7"/>
  <c r="AE217" i="7"/>
  <c r="AG217" i="7"/>
  <c r="AJ217" i="7"/>
  <c r="AF217" i="7"/>
  <c r="AI219" i="7"/>
  <c r="BE149" i="7"/>
  <c r="BC149" i="7"/>
  <c r="BH149" i="7"/>
  <c r="BD149" i="7"/>
  <c r="BG150" i="7"/>
  <c r="BQ109" i="7"/>
  <c r="BU109" i="7"/>
  <c r="BV109" i="7" s="1"/>
  <c r="BP109" i="7"/>
  <c r="BS110" i="7"/>
  <c r="Z110" i="7"/>
  <c r="AC109" i="7"/>
  <c r="AH219" i="7"/>
  <c r="W110" i="7"/>
  <c r="Y110" i="7"/>
  <c r="X110" i="7"/>
  <c r="AB110" i="7"/>
  <c r="AA111" i="7"/>
  <c r="BA152" i="7"/>
  <c r="AU153" i="7"/>
  <c r="AZ153" i="7"/>
  <c r="AW153" i="7"/>
  <c r="AV153" i="7"/>
  <c r="AJ216" i="7"/>
  <c r="AG216" i="7"/>
  <c r="AE216" i="7"/>
  <c r="AF216" i="7"/>
  <c r="AI218" i="7"/>
  <c r="AH218" i="7"/>
  <c r="AK214" i="7"/>
  <c r="AY154" i="7"/>
  <c r="AY155" i="7" s="1"/>
  <c r="G220" i="7"/>
  <c r="CA220" i="7" s="1"/>
  <c r="G221" i="7"/>
  <c r="CA221" i="7" s="1"/>
  <c r="F111" i="7"/>
  <c r="L110" i="7"/>
  <c r="DB146" i="7" l="1"/>
  <c r="CL159" i="7"/>
  <c r="BT112" i="7"/>
  <c r="BR111" i="7"/>
  <c r="CW147" i="7"/>
  <c r="DA147" i="7"/>
  <c r="CV147" i="7"/>
  <c r="CX147" i="7"/>
  <c r="CZ148" i="7"/>
  <c r="AK217" i="7"/>
  <c r="CK161" i="7"/>
  <c r="CF161" i="7"/>
  <c r="CG161" i="7"/>
  <c r="CH161" i="7"/>
  <c r="AS126" i="7"/>
  <c r="CF160" i="7"/>
  <c r="CH160" i="7"/>
  <c r="CK160" i="7"/>
  <c r="CG160" i="7"/>
  <c r="CJ162" i="7"/>
  <c r="CJ163" i="7" s="1"/>
  <c r="BI149" i="7"/>
  <c r="CT146" i="7"/>
  <c r="CR148" i="7"/>
  <c r="CS147" i="7"/>
  <c r="CN147" i="7"/>
  <c r="CO147" i="7"/>
  <c r="CP147" i="7"/>
  <c r="BY146" i="7"/>
  <c r="BX146" i="7"/>
  <c r="CD145" i="7"/>
  <c r="AR127" i="7"/>
  <c r="AO127" i="7"/>
  <c r="AN127" i="7"/>
  <c r="AM127" i="7"/>
  <c r="AQ128" i="7"/>
  <c r="BZ146" i="7"/>
  <c r="CC146" i="7"/>
  <c r="CB147" i="7"/>
  <c r="AK216" i="7"/>
  <c r="BA153" i="7"/>
  <c r="AW155" i="7"/>
  <c r="AZ155" i="7"/>
  <c r="AU155" i="7"/>
  <c r="AV155" i="7"/>
  <c r="AF218" i="7"/>
  <c r="AE218" i="7"/>
  <c r="AJ218" i="7"/>
  <c r="AG218" i="7"/>
  <c r="AI220" i="7"/>
  <c r="BS111" i="7"/>
  <c r="Z111" i="7"/>
  <c r="AH221" i="7"/>
  <c r="AG219" i="7"/>
  <c r="AF219" i="7"/>
  <c r="AI221" i="7"/>
  <c r="AE219" i="7"/>
  <c r="AJ219" i="7"/>
  <c r="AW154" i="7"/>
  <c r="AZ154" i="7"/>
  <c r="BA154" i="7" s="1"/>
  <c r="AU154" i="7"/>
  <c r="AV154" i="7"/>
  <c r="AC110" i="7"/>
  <c r="AH220" i="7"/>
  <c r="X111" i="7"/>
  <c r="AB111" i="7"/>
  <c r="W111" i="7"/>
  <c r="AA112" i="7"/>
  <c r="Y111" i="7"/>
  <c r="BU110" i="7"/>
  <c r="BV110" i="7" s="1"/>
  <c r="BP110" i="7"/>
  <c r="BQ110" i="7"/>
  <c r="BG151" i="7"/>
  <c r="BC150" i="7"/>
  <c r="BH150" i="7"/>
  <c r="BE150" i="7"/>
  <c r="BD150" i="7"/>
  <c r="AY156" i="7"/>
  <c r="G223" i="7"/>
  <c r="CA223" i="7" s="1"/>
  <c r="G222" i="7"/>
  <c r="CA222" i="7" s="1"/>
  <c r="F112" i="7"/>
  <c r="L111" i="7"/>
  <c r="CL161" i="7" l="1"/>
  <c r="CL160" i="7"/>
  <c r="DB147" i="7"/>
  <c r="CZ149" i="7"/>
  <c r="CZ150" i="7" s="1"/>
  <c r="CX148" i="7"/>
  <c r="DA148" i="7"/>
  <c r="CV148" i="7"/>
  <c r="CW148" i="7"/>
  <c r="BT113" i="7"/>
  <c r="BR112" i="7"/>
  <c r="BA155" i="7"/>
  <c r="CD146" i="7"/>
  <c r="CT147" i="7"/>
  <c r="CH163" i="7"/>
  <c r="CF163" i="7"/>
  <c r="CG163" i="7"/>
  <c r="CK163" i="7"/>
  <c r="AS127" i="7"/>
  <c r="CJ164" i="7"/>
  <c r="CJ165" i="7" s="1"/>
  <c r="CF162" i="7"/>
  <c r="CG162" i="7"/>
  <c r="CH162" i="7"/>
  <c r="CK162" i="7"/>
  <c r="CR149" i="7"/>
  <c r="CO148" i="7"/>
  <c r="CP148" i="7"/>
  <c r="CN148" i="7"/>
  <c r="CS148" i="7"/>
  <c r="BY147" i="7"/>
  <c r="BX147" i="7"/>
  <c r="AR128" i="7"/>
  <c r="AO128" i="7"/>
  <c r="AN128" i="7"/>
  <c r="AM128" i="7"/>
  <c r="AQ129" i="7"/>
  <c r="BZ147" i="7"/>
  <c r="CC147" i="7"/>
  <c r="CB148" i="7"/>
  <c r="AK218" i="7"/>
  <c r="BI150" i="7"/>
  <c r="AC111" i="7"/>
  <c r="BH151" i="7"/>
  <c r="BC151" i="7"/>
  <c r="BD151" i="7"/>
  <c r="BE151" i="7"/>
  <c r="BG152" i="7"/>
  <c r="AJ220" i="7"/>
  <c r="AE220" i="7"/>
  <c r="AF220" i="7"/>
  <c r="AI222" i="7"/>
  <c r="AG220" i="7"/>
  <c r="AJ221" i="7"/>
  <c r="AG221" i="7"/>
  <c r="AE221" i="7"/>
  <c r="AI223" i="7"/>
  <c r="AF221" i="7"/>
  <c r="BU111" i="7"/>
  <c r="BV111" i="7" s="1"/>
  <c r="BP111" i="7"/>
  <c r="BQ111" i="7"/>
  <c r="AH223" i="7"/>
  <c r="AK219" i="7"/>
  <c r="AZ156" i="7"/>
  <c r="AV156" i="7"/>
  <c r="AU156" i="7"/>
  <c r="AW156" i="7"/>
  <c r="AY157" i="7"/>
  <c r="AH222" i="7"/>
  <c r="W112" i="7"/>
  <c r="AB112" i="7"/>
  <c r="X112" i="7"/>
  <c r="AA113" i="7"/>
  <c r="Y112" i="7"/>
  <c r="BS112" i="7"/>
  <c r="Z112" i="7"/>
  <c r="G224" i="7"/>
  <c r="CA224" i="7" s="1"/>
  <c r="G225" i="7"/>
  <c r="CA225" i="7" s="1"/>
  <c r="F113" i="7"/>
  <c r="L112" i="7"/>
  <c r="DB148" i="7" l="1"/>
  <c r="CL163" i="7"/>
  <c r="CT148" i="7"/>
  <c r="CZ151" i="7"/>
  <c r="CZ152" i="7" s="1"/>
  <c r="CW150" i="7"/>
  <c r="DA150" i="7"/>
  <c r="CX150" i="7"/>
  <c r="CV150" i="7"/>
  <c r="BT114" i="7"/>
  <c r="BR113" i="7"/>
  <c r="CW149" i="7"/>
  <c r="CV149" i="7"/>
  <c r="CX149" i="7"/>
  <c r="DA149" i="7"/>
  <c r="CL162" i="7"/>
  <c r="CF165" i="7"/>
  <c r="CG165" i="7"/>
  <c r="CK165" i="7"/>
  <c r="CH165" i="7"/>
  <c r="CF164" i="7"/>
  <c r="CH164" i="7"/>
  <c r="CK164" i="7"/>
  <c r="CG164" i="7"/>
  <c r="AK221" i="7"/>
  <c r="CJ166" i="7"/>
  <c r="BA156" i="7"/>
  <c r="CD147" i="7"/>
  <c r="AS128" i="7"/>
  <c r="BY148" i="7"/>
  <c r="BX148" i="7"/>
  <c r="CR150" i="7"/>
  <c r="CR151" i="7" s="1"/>
  <c r="CS149" i="7"/>
  <c r="CN149" i="7"/>
  <c r="CO149" i="7"/>
  <c r="CP149" i="7"/>
  <c r="BI151" i="7"/>
  <c r="AR129" i="7"/>
  <c r="AO129" i="7"/>
  <c r="AN129" i="7"/>
  <c r="AM129" i="7"/>
  <c r="AQ130" i="7"/>
  <c r="BZ148" i="7"/>
  <c r="CC148" i="7"/>
  <c r="CB149" i="7"/>
  <c r="AC112" i="7"/>
  <c r="BG153" i="7"/>
  <c r="BG154" i="7" s="1"/>
  <c r="AF222" i="7"/>
  <c r="AE222" i="7"/>
  <c r="AJ222" i="7"/>
  <c r="AI224" i="7"/>
  <c r="AG222" i="7"/>
  <c r="Z113" i="7"/>
  <c r="BS113" i="7"/>
  <c r="AU157" i="7"/>
  <c r="AW157" i="7"/>
  <c r="AZ157" i="7"/>
  <c r="AV157" i="7"/>
  <c r="Y113" i="7"/>
  <c r="X113" i="7"/>
  <c r="W113" i="7"/>
  <c r="AB113" i="7"/>
  <c r="AA114" i="7"/>
  <c r="AH225" i="7"/>
  <c r="BU112" i="7"/>
  <c r="BV112" i="7" s="1"/>
  <c r="BQ112" i="7"/>
  <c r="BP112" i="7"/>
  <c r="AK220" i="7"/>
  <c r="AH224" i="7"/>
  <c r="BH152" i="7"/>
  <c r="BE152" i="7"/>
  <c r="BD152" i="7"/>
  <c r="BC152" i="7"/>
  <c r="AI225" i="7"/>
  <c r="AJ223" i="7"/>
  <c r="AG223" i="7"/>
  <c r="AF223" i="7"/>
  <c r="AE223" i="7"/>
  <c r="AY158" i="7"/>
  <c r="G226" i="7"/>
  <c r="CA226" i="7" s="1"/>
  <c r="G227" i="7"/>
  <c r="CA227" i="7" s="1"/>
  <c r="F114" i="7"/>
  <c r="L113" i="7"/>
  <c r="CL165" i="7" l="1"/>
  <c r="CT149" i="7"/>
  <c r="DB150" i="7"/>
  <c r="CL164" i="7"/>
  <c r="CZ153" i="7"/>
  <c r="CV152" i="7"/>
  <c r="CW152" i="7"/>
  <c r="CX152" i="7"/>
  <c r="DA152" i="7"/>
  <c r="BT115" i="7"/>
  <c r="BR114" i="7"/>
  <c r="DB149" i="7"/>
  <c r="CX151" i="7"/>
  <c r="DA151" i="7"/>
  <c r="CW151" i="7"/>
  <c r="CV151" i="7"/>
  <c r="CD148" i="7"/>
  <c r="CK166" i="7"/>
  <c r="CG166" i="7"/>
  <c r="CF166" i="7"/>
  <c r="CH166" i="7"/>
  <c r="CJ167" i="7"/>
  <c r="BI152" i="7"/>
  <c r="BA157" i="7"/>
  <c r="CP151" i="7"/>
  <c r="CS151" i="7"/>
  <c r="CN151" i="7"/>
  <c r="CO151" i="7"/>
  <c r="BY149" i="7"/>
  <c r="BX149" i="7"/>
  <c r="BD153" i="7"/>
  <c r="BE153" i="7"/>
  <c r="CN150" i="7"/>
  <c r="CO150" i="7"/>
  <c r="CS150" i="7"/>
  <c r="CP150" i="7"/>
  <c r="BH153" i="7"/>
  <c r="CR152" i="7"/>
  <c r="BC153" i="7"/>
  <c r="AS129" i="7"/>
  <c r="AR130" i="7"/>
  <c r="AO130" i="7"/>
  <c r="AN130" i="7"/>
  <c r="AM130" i="7"/>
  <c r="AQ131" i="7"/>
  <c r="CC149" i="7"/>
  <c r="BZ149" i="7"/>
  <c r="CB150" i="7"/>
  <c r="AK223" i="7"/>
  <c r="BD154" i="7"/>
  <c r="BH154" i="7"/>
  <c r="BC154" i="7"/>
  <c r="BE154" i="7"/>
  <c r="BG155" i="7"/>
  <c r="BG156" i="7" s="1"/>
  <c r="AG225" i="7"/>
  <c r="AF225" i="7"/>
  <c r="AJ225" i="7"/>
  <c r="AE225" i="7"/>
  <c r="AI227" i="7"/>
  <c r="AK222" i="7"/>
  <c r="AI226" i="7"/>
  <c r="AE224" i="7"/>
  <c r="AG224" i="7"/>
  <c r="AF224" i="7"/>
  <c r="AJ224" i="7"/>
  <c r="Y114" i="7"/>
  <c r="W114" i="7"/>
  <c r="X114" i="7"/>
  <c r="AA115" i="7"/>
  <c r="AB114" i="7"/>
  <c r="AC113" i="7"/>
  <c r="AH227" i="7"/>
  <c r="AH226" i="7"/>
  <c r="BS114" i="7"/>
  <c r="Z114" i="7"/>
  <c r="BU113" i="7"/>
  <c r="BV113" i="7" s="1"/>
  <c r="BQ113" i="7"/>
  <c r="BP113" i="7"/>
  <c r="AY159" i="7"/>
  <c r="AV158" i="7"/>
  <c r="AU158" i="7"/>
  <c r="AZ158" i="7"/>
  <c r="AW158" i="7"/>
  <c r="G228" i="7"/>
  <c r="CA228" i="7" s="1"/>
  <c r="G229" i="7"/>
  <c r="CA229" i="7" s="1"/>
  <c r="F115" i="7"/>
  <c r="L114" i="7"/>
  <c r="CL166" i="7" l="1"/>
  <c r="AK225" i="7"/>
  <c r="DB152" i="7"/>
  <c r="CT151" i="7"/>
  <c r="DB151" i="7"/>
  <c r="BI154" i="7"/>
  <c r="CT150" i="7"/>
  <c r="BT116" i="7"/>
  <c r="BR115" i="7"/>
  <c r="CW153" i="7"/>
  <c r="DA153" i="7"/>
  <c r="CV153" i="7"/>
  <c r="CX153" i="7"/>
  <c r="CZ154" i="7"/>
  <c r="CH167" i="7"/>
  <c r="CK167" i="7"/>
  <c r="CG167" i="7"/>
  <c r="CF167" i="7"/>
  <c r="CJ168" i="7"/>
  <c r="CJ169" i="7" s="1"/>
  <c r="BI153" i="7"/>
  <c r="AS130" i="7"/>
  <c r="BC155" i="7"/>
  <c r="BY150" i="7"/>
  <c r="BX150" i="7"/>
  <c r="CD149" i="7"/>
  <c r="CN152" i="7"/>
  <c r="CO152" i="7"/>
  <c r="CP152" i="7"/>
  <c r="CS152" i="7"/>
  <c r="CR153" i="7"/>
  <c r="AR131" i="7"/>
  <c r="AO131" i="7"/>
  <c r="AN131" i="7"/>
  <c r="AM131" i="7"/>
  <c r="AQ132" i="7"/>
  <c r="BZ150" i="7"/>
  <c r="CC150" i="7"/>
  <c r="CB151" i="7"/>
  <c r="AK224" i="7"/>
  <c r="AC114" i="7"/>
  <c r="BG157" i="7"/>
  <c r="BE157" i="7" s="1"/>
  <c r="BE156" i="7"/>
  <c r="BD156" i="7"/>
  <c r="BC156" i="7"/>
  <c r="BH156" i="7"/>
  <c r="BH155" i="7"/>
  <c r="BD155" i="7"/>
  <c r="BE155" i="7"/>
  <c r="BA158" i="7"/>
  <c r="BQ114" i="7"/>
  <c r="BP114" i="7"/>
  <c r="BU114" i="7"/>
  <c r="BV114" i="7" s="1"/>
  <c r="AW159" i="7"/>
  <c r="AZ159" i="7"/>
  <c r="AU159" i="7"/>
  <c r="AV159" i="7"/>
  <c r="AB115" i="7"/>
  <c r="W115" i="7"/>
  <c r="AA116" i="7"/>
  <c r="X115" i="7"/>
  <c r="Y115" i="7"/>
  <c r="AF226" i="7"/>
  <c r="AI228" i="7"/>
  <c r="AG226" i="7"/>
  <c r="AE226" i="7"/>
  <c r="AJ226" i="7"/>
  <c r="AH229" i="7"/>
  <c r="AE227" i="7"/>
  <c r="AJ227" i="7"/>
  <c r="AF227" i="7"/>
  <c r="AI229" i="7"/>
  <c r="AG227" i="7"/>
  <c r="AY160" i="7"/>
  <c r="BS115" i="7"/>
  <c r="Z115" i="7"/>
  <c r="AH228" i="7"/>
  <c r="G231" i="7"/>
  <c r="CA231" i="7" s="1"/>
  <c r="G230" i="7"/>
  <c r="CA230" i="7" s="1"/>
  <c r="F116" i="7"/>
  <c r="L115" i="7"/>
  <c r="DB153" i="7" l="1"/>
  <c r="CL167" i="7"/>
  <c r="CW154" i="7"/>
  <c r="DA154" i="7"/>
  <c r="CX154" i="7"/>
  <c r="CV154" i="7"/>
  <c r="CZ155" i="7"/>
  <c r="BT117" i="7"/>
  <c r="BR116" i="7"/>
  <c r="CD150" i="7"/>
  <c r="CT152" i="7"/>
  <c r="CG169" i="7"/>
  <c r="CF169" i="7"/>
  <c r="CH169" i="7"/>
  <c r="CK169" i="7"/>
  <c r="BG158" i="7"/>
  <c r="BG159" i="7" s="1"/>
  <c r="BH159" i="7" s="1"/>
  <c r="BH157" i="7"/>
  <c r="BI157" i="7" s="1"/>
  <c r="CJ170" i="7"/>
  <c r="CK168" i="7"/>
  <c r="CG168" i="7"/>
  <c r="CF168" i="7"/>
  <c r="CH168" i="7"/>
  <c r="BI156" i="7"/>
  <c r="BX151" i="7"/>
  <c r="BY151" i="7"/>
  <c r="BC157" i="7"/>
  <c r="AS131" i="7"/>
  <c r="CR154" i="7"/>
  <c r="CN153" i="7"/>
  <c r="CO153" i="7"/>
  <c r="CP153" i="7"/>
  <c r="CS153" i="7"/>
  <c r="AR132" i="7"/>
  <c r="AO132" i="7"/>
  <c r="AN132" i="7"/>
  <c r="AM132" i="7"/>
  <c r="AQ133" i="7"/>
  <c r="BZ151" i="7"/>
  <c r="CC151" i="7"/>
  <c r="CB152" i="7"/>
  <c r="BI155" i="7"/>
  <c r="BD157" i="7"/>
  <c r="AK226" i="7"/>
  <c r="AC115" i="7"/>
  <c r="Y116" i="7"/>
  <c r="AA117" i="7"/>
  <c r="X116" i="7"/>
  <c r="W116" i="7"/>
  <c r="AB116" i="7"/>
  <c r="BP115" i="7"/>
  <c r="BU115" i="7"/>
  <c r="BV115" i="7" s="1"/>
  <c r="BQ115" i="7"/>
  <c r="AE228" i="7"/>
  <c r="AF228" i="7"/>
  <c r="AI230" i="7"/>
  <c r="AG228" i="7"/>
  <c r="AJ228" i="7"/>
  <c r="BS116" i="7"/>
  <c r="Z116" i="7"/>
  <c r="AU160" i="7"/>
  <c r="AZ160" i="7"/>
  <c r="AV160" i="7"/>
  <c r="AW160" i="7"/>
  <c r="AY161" i="7"/>
  <c r="AH230" i="7"/>
  <c r="AJ229" i="7"/>
  <c r="AI231" i="7"/>
  <c r="AG229" i="7"/>
  <c r="AE229" i="7"/>
  <c r="AF229" i="7"/>
  <c r="AH231" i="7"/>
  <c r="AK227" i="7"/>
  <c r="BA159" i="7"/>
  <c r="G232" i="7"/>
  <c r="CA232" i="7" s="1"/>
  <c r="G233" i="7"/>
  <c r="CA233" i="7" s="1"/>
  <c r="F117" i="7"/>
  <c r="L116" i="7"/>
  <c r="DB154" i="7" l="1"/>
  <c r="CL169" i="7"/>
  <c r="BT118" i="7"/>
  <c r="BR117" i="7"/>
  <c r="CL168" i="7"/>
  <c r="CZ156" i="7"/>
  <c r="CZ157" i="7" s="1"/>
  <c r="CW155" i="7"/>
  <c r="CX155" i="7"/>
  <c r="DA155" i="7"/>
  <c r="CV155" i="7"/>
  <c r="BE158" i="7"/>
  <c r="CG170" i="7"/>
  <c r="CF170" i="7"/>
  <c r="CK170" i="7"/>
  <c r="CH170" i="7"/>
  <c r="BG160" i="7"/>
  <c r="BD160" i="7" s="1"/>
  <c r="BD159" i="7"/>
  <c r="BD158" i="7"/>
  <c r="BC159" i="7"/>
  <c r="BC158" i="7"/>
  <c r="BE159" i="7"/>
  <c r="BI159" i="7" s="1"/>
  <c r="CT153" i="7"/>
  <c r="CJ171" i="7"/>
  <c r="CJ172" i="7" s="1"/>
  <c r="BH158" i="7"/>
  <c r="BX152" i="7"/>
  <c r="BY152" i="7"/>
  <c r="CP154" i="7"/>
  <c r="CS154" i="7"/>
  <c r="CN154" i="7"/>
  <c r="CO154" i="7"/>
  <c r="CR155" i="7"/>
  <c r="AS132" i="7"/>
  <c r="AR133" i="7"/>
  <c r="AO133" i="7"/>
  <c r="AN133" i="7"/>
  <c r="AM133" i="7"/>
  <c r="AQ134" i="7"/>
  <c r="CC152" i="7"/>
  <c r="BZ152" i="7"/>
  <c r="CD151" i="7"/>
  <c r="CB153" i="7"/>
  <c r="AK229" i="7"/>
  <c r="AK228" i="7"/>
  <c r="AC116" i="7"/>
  <c r="BA160" i="7"/>
  <c r="AJ230" i="7"/>
  <c r="AI232" i="7"/>
  <c r="AG230" i="7"/>
  <c r="AF230" i="7"/>
  <c r="AE230" i="7"/>
  <c r="AW161" i="7"/>
  <c r="AV161" i="7"/>
  <c r="AZ161" i="7"/>
  <c r="AU161" i="7"/>
  <c r="AY162" i="7"/>
  <c r="AY163" i="7" s="1"/>
  <c r="AE231" i="7"/>
  <c r="AF231" i="7"/>
  <c r="AI233" i="7"/>
  <c r="AJ231" i="7"/>
  <c r="AG231" i="7"/>
  <c r="BS117" i="7"/>
  <c r="Z117" i="7"/>
  <c r="BU116" i="7"/>
  <c r="BV116" i="7" s="1"/>
  <c r="BQ116" i="7"/>
  <c r="BP116" i="7"/>
  <c r="AH233" i="7"/>
  <c r="AH232" i="7"/>
  <c r="AB117" i="7"/>
  <c r="AA118" i="7"/>
  <c r="Y117" i="7"/>
  <c r="X117" i="7"/>
  <c r="W117" i="7"/>
  <c r="G234" i="7"/>
  <c r="CA234" i="7" s="1"/>
  <c r="G235" i="7"/>
  <c r="CA235" i="7" s="1"/>
  <c r="F118" i="7"/>
  <c r="L117" i="7"/>
  <c r="BI158" i="7" l="1"/>
  <c r="DB155" i="7"/>
  <c r="CT154" i="7"/>
  <c r="CX157" i="7"/>
  <c r="DA157" i="7"/>
  <c r="CW157" i="7"/>
  <c r="CV157" i="7"/>
  <c r="DA156" i="7"/>
  <c r="CV156" i="7"/>
  <c r="CX156" i="7"/>
  <c r="CW156" i="7"/>
  <c r="BT119" i="7"/>
  <c r="BR118" i="7"/>
  <c r="CZ158" i="7"/>
  <c r="BC160" i="7"/>
  <c r="BE160" i="7"/>
  <c r="BG161" i="7"/>
  <c r="BG162" i="7" s="1"/>
  <c r="BD162" i="7" s="1"/>
  <c r="BH160" i="7"/>
  <c r="CL170" i="7"/>
  <c r="CG172" i="7"/>
  <c r="CH172" i="7"/>
  <c r="CF172" i="7"/>
  <c r="CK172" i="7"/>
  <c r="CJ173" i="7"/>
  <c r="CH171" i="7"/>
  <c r="CK171" i="7"/>
  <c r="CG171" i="7"/>
  <c r="CF171" i="7"/>
  <c r="BX153" i="7"/>
  <c r="BY153" i="7"/>
  <c r="CR156" i="7"/>
  <c r="CN155" i="7"/>
  <c r="CO155" i="7"/>
  <c r="CP155" i="7"/>
  <c r="CS155" i="7"/>
  <c r="CD152" i="7"/>
  <c r="AC117" i="7"/>
  <c r="BA161" i="7"/>
  <c r="AS133" i="7"/>
  <c r="AR134" i="7"/>
  <c r="AO134" i="7"/>
  <c r="AN134" i="7"/>
  <c r="AM134" i="7"/>
  <c r="AQ135" i="7"/>
  <c r="CC153" i="7"/>
  <c r="BZ153" i="7"/>
  <c r="CB154" i="7"/>
  <c r="AK231" i="7"/>
  <c r="AH235" i="7"/>
  <c r="BS118" i="7"/>
  <c r="Z118" i="7"/>
  <c r="AB118" i="7"/>
  <c r="AA119" i="7"/>
  <c r="Y118" i="7"/>
  <c r="W118" i="7"/>
  <c r="X118" i="7"/>
  <c r="AF233" i="7"/>
  <c r="AJ233" i="7"/>
  <c r="AE233" i="7"/>
  <c r="AI235" i="7"/>
  <c r="AG233" i="7"/>
  <c r="AH234" i="7"/>
  <c r="BU117" i="7"/>
  <c r="BV117" i="7" s="1"/>
  <c r="BQ117" i="7"/>
  <c r="BP117" i="7"/>
  <c r="AU162" i="7"/>
  <c r="AW162" i="7"/>
  <c r="AV162" i="7"/>
  <c r="AZ162" i="7"/>
  <c r="AF232" i="7"/>
  <c r="AE232" i="7"/>
  <c r="AJ232" i="7"/>
  <c r="AI234" i="7"/>
  <c r="AG232" i="7"/>
  <c r="AZ163" i="7"/>
  <c r="AW163" i="7"/>
  <c r="AU163" i="7"/>
  <c r="AV163" i="7"/>
  <c r="AK230" i="7"/>
  <c r="AY164" i="7"/>
  <c r="G237" i="7"/>
  <c r="CA237" i="7" s="1"/>
  <c r="G236" i="7"/>
  <c r="CA236" i="7" s="1"/>
  <c r="F119" i="7"/>
  <c r="L118" i="7"/>
  <c r="DB157" i="7" l="1"/>
  <c r="DB156" i="7"/>
  <c r="BI160" i="7"/>
  <c r="BH161" i="7"/>
  <c r="BC161" i="7"/>
  <c r="BD161" i="7"/>
  <c r="CL171" i="7"/>
  <c r="BE161" i="7"/>
  <c r="BT120" i="7"/>
  <c r="BR119" i="7"/>
  <c r="CZ159" i="7"/>
  <c r="CV158" i="7"/>
  <c r="CX158" i="7"/>
  <c r="CW158" i="7"/>
  <c r="DA158" i="7"/>
  <c r="CL172" i="7"/>
  <c r="BH162" i="7"/>
  <c r="BC162" i="7"/>
  <c r="BE162" i="7"/>
  <c r="BG163" i="7"/>
  <c r="BD163" i="7" s="1"/>
  <c r="CD153" i="7"/>
  <c r="BA162" i="7"/>
  <c r="CG173" i="7"/>
  <c r="CF173" i="7"/>
  <c r="CH173" i="7"/>
  <c r="CK173" i="7"/>
  <c r="CT155" i="7"/>
  <c r="CJ174" i="7"/>
  <c r="CN156" i="7"/>
  <c r="CO156" i="7"/>
  <c r="CP156" i="7"/>
  <c r="CS156" i="7"/>
  <c r="BA163" i="7"/>
  <c r="AS134" i="7"/>
  <c r="CR157" i="7"/>
  <c r="BX154" i="7"/>
  <c r="BY154" i="7"/>
  <c r="AR135" i="7"/>
  <c r="AO135" i="7"/>
  <c r="AN135" i="7"/>
  <c r="AM135" i="7"/>
  <c r="AQ136" i="7"/>
  <c r="BZ154" i="7"/>
  <c r="CC154" i="7"/>
  <c r="CB155" i="7"/>
  <c r="AC118" i="7"/>
  <c r="AK232" i="7"/>
  <c r="AK233" i="7"/>
  <c r="BQ118" i="7"/>
  <c r="BP118" i="7"/>
  <c r="BU118" i="7"/>
  <c r="BV118" i="7" s="1"/>
  <c r="AE234" i="7"/>
  <c r="AJ234" i="7"/>
  <c r="AI236" i="7"/>
  <c r="AG234" i="7"/>
  <c r="AF234" i="7"/>
  <c r="AB119" i="7"/>
  <c r="X119" i="7"/>
  <c r="AA120" i="7"/>
  <c r="W119" i="7"/>
  <c r="Y119" i="7"/>
  <c r="BS119" i="7"/>
  <c r="Z119" i="7"/>
  <c r="AZ164" i="7"/>
  <c r="AV164" i="7"/>
  <c r="AW164" i="7"/>
  <c r="AU164" i="7"/>
  <c r="AH236" i="7"/>
  <c r="AH237" i="7"/>
  <c r="AJ235" i="7"/>
  <c r="AG235" i="7"/>
  <c r="AE235" i="7"/>
  <c r="AF235" i="7"/>
  <c r="AI237" i="7"/>
  <c r="AY165" i="7"/>
  <c r="G238" i="7"/>
  <c r="CA238" i="7" s="1"/>
  <c r="G239" i="7"/>
  <c r="CA239" i="7" s="1"/>
  <c r="F120" i="7"/>
  <c r="L119" i="7"/>
  <c r="BI161" i="7" l="1"/>
  <c r="CL173" i="7"/>
  <c r="DB158" i="7"/>
  <c r="BI162" i="7"/>
  <c r="BH163" i="7"/>
  <c r="BG164" i="7"/>
  <c r="BE164" i="7" s="1"/>
  <c r="BC163" i="7"/>
  <c r="CD154" i="7"/>
  <c r="CV159" i="7"/>
  <c r="CW159" i="7"/>
  <c r="DA159" i="7"/>
  <c r="CX159" i="7"/>
  <c r="CZ160" i="7"/>
  <c r="BR120" i="7"/>
  <c r="BT121" i="7"/>
  <c r="BE163" i="7"/>
  <c r="CT156" i="7"/>
  <c r="CJ175" i="7"/>
  <c r="CF174" i="7"/>
  <c r="CK174" i="7"/>
  <c r="CG174" i="7"/>
  <c r="CH174" i="7"/>
  <c r="CR158" i="7"/>
  <c r="CN157" i="7"/>
  <c r="CO157" i="7"/>
  <c r="CP157" i="7"/>
  <c r="CS157" i="7"/>
  <c r="AK234" i="7"/>
  <c r="BY155" i="7"/>
  <c r="BX155" i="7"/>
  <c r="AR136" i="7"/>
  <c r="AO136" i="7"/>
  <c r="AN136" i="7"/>
  <c r="AM136" i="7"/>
  <c r="AS135" i="7"/>
  <c r="AQ137" i="7"/>
  <c r="CC155" i="7"/>
  <c r="BZ155" i="7"/>
  <c r="CB156" i="7"/>
  <c r="AK235" i="7"/>
  <c r="BA164" i="7"/>
  <c r="BS120" i="7"/>
  <c r="Z120" i="7"/>
  <c r="AC119" i="7"/>
  <c r="AB120" i="7"/>
  <c r="X120" i="7"/>
  <c r="W120" i="7"/>
  <c r="Y120" i="7"/>
  <c r="AA121" i="7"/>
  <c r="BQ119" i="7"/>
  <c r="BU119" i="7"/>
  <c r="BV119" i="7" s="1"/>
  <c r="BP119" i="7"/>
  <c r="AZ165" i="7"/>
  <c r="AU165" i="7"/>
  <c r="AW165" i="7"/>
  <c r="AV165" i="7"/>
  <c r="AF236" i="7"/>
  <c r="AE236" i="7"/>
  <c r="AJ236" i="7"/>
  <c r="AI238" i="7"/>
  <c r="AG236" i="7"/>
  <c r="AH239" i="7"/>
  <c r="AJ237" i="7"/>
  <c r="AI239" i="7"/>
  <c r="AE237" i="7"/>
  <c r="AG237" i="7"/>
  <c r="AF237" i="7"/>
  <c r="AY166" i="7"/>
  <c r="AH238" i="7"/>
  <c r="G241" i="7"/>
  <c r="CA241" i="7" s="1"/>
  <c r="G240" i="7"/>
  <c r="CA240" i="7" s="1"/>
  <c r="F121" i="7"/>
  <c r="L120" i="7"/>
  <c r="CL174" i="7" l="1"/>
  <c r="BI163" i="7"/>
  <c r="BG165" i="7"/>
  <c r="BG166" i="7" s="1"/>
  <c r="BD166" i="7" s="1"/>
  <c r="DB159" i="7"/>
  <c r="BC164" i="7"/>
  <c r="BD164" i="7"/>
  <c r="BH164" i="7"/>
  <c r="BI164" i="7" s="1"/>
  <c r="BT122" i="7"/>
  <c r="BR121" i="7"/>
  <c r="CZ161" i="7"/>
  <c r="CV160" i="7"/>
  <c r="CW160" i="7"/>
  <c r="DA160" i="7"/>
  <c r="CX160" i="7"/>
  <c r="CD155" i="7"/>
  <c r="CT157" i="7"/>
  <c r="CG175" i="7"/>
  <c r="CF175" i="7"/>
  <c r="CK175" i="7"/>
  <c r="CH175" i="7"/>
  <c r="CJ176" i="7"/>
  <c r="CS158" i="7"/>
  <c r="CN158" i="7"/>
  <c r="CP158" i="7"/>
  <c r="CO158" i="7"/>
  <c r="AS136" i="7"/>
  <c r="BX156" i="7"/>
  <c r="BY156" i="7"/>
  <c r="CR159" i="7"/>
  <c r="AR137" i="7"/>
  <c r="AO137" i="7"/>
  <c r="AN137" i="7"/>
  <c r="AM137" i="7"/>
  <c r="AQ138" i="7"/>
  <c r="CC156" i="7"/>
  <c r="BZ156" i="7"/>
  <c r="CB157" i="7"/>
  <c r="BA165" i="7"/>
  <c r="AK236" i="7"/>
  <c r="BU120" i="7"/>
  <c r="BV120" i="7" s="1"/>
  <c r="BP120" i="7"/>
  <c r="BQ120" i="7"/>
  <c r="X121" i="7"/>
  <c r="AB121" i="7"/>
  <c r="AA122" i="7"/>
  <c r="Y121" i="7"/>
  <c r="W121" i="7"/>
  <c r="AW166" i="7"/>
  <c r="AV166" i="7"/>
  <c r="AZ166" i="7"/>
  <c r="AU166" i="7"/>
  <c r="AI240" i="7"/>
  <c r="AG238" i="7"/>
  <c r="AJ238" i="7"/>
  <c r="AF238" i="7"/>
  <c r="AE238" i="7"/>
  <c r="BS121" i="7"/>
  <c r="Z121" i="7"/>
  <c r="AG239" i="7"/>
  <c r="AE239" i="7"/>
  <c r="AJ239" i="7"/>
  <c r="AF239" i="7"/>
  <c r="AI241" i="7"/>
  <c r="AK237" i="7"/>
  <c r="AC120" i="7"/>
  <c r="AH240" i="7"/>
  <c r="AH241" i="7"/>
  <c r="AY167" i="7"/>
  <c r="AY168" i="7" s="1"/>
  <c r="G242" i="7"/>
  <c r="CA242" i="7" s="1"/>
  <c r="G243" i="7"/>
  <c r="CA243" i="7" s="1"/>
  <c r="F122" i="7"/>
  <c r="L121" i="7"/>
  <c r="BD165" i="7" l="1"/>
  <c r="BE165" i="7"/>
  <c r="BH165" i="7"/>
  <c r="BC165" i="7"/>
  <c r="DB160" i="7"/>
  <c r="CL175" i="7"/>
  <c r="CW161" i="7"/>
  <c r="CV161" i="7"/>
  <c r="DA161" i="7"/>
  <c r="CX161" i="7"/>
  <c r="BT123" i="7"/>
  <c r="BR122" i="7"/>
  <c r="CZ162" i="7"/>
  <c r="CD156" i="7"/>
  <c r="CK176" i="7"/>
  <c r="CG176" i="7"/>
  <c r="CH176" i="7"/>
  <c r="CF176" i="7"/>
  <c r="CJ177" i="7"/>
  <c r="CJ178" i="7" s="1"/>
  <c r="BY157" i="7"/>
  <c r="BX157" i="7"/>
  <c r="CR160" i="7"/>
  <c r="CN159" i="7"/>
  <c r="CO159" i="7"/>
  <c r="CP159" i="7"/>
  <c r="CS159" i="7"/>
  <c r="CT158" i="7"/>
  <c r="AS137" i="7"/>
  <c r="BA166" i="7"/>
  <c r="AR138" i="7"/>
  <c r="AO138" i="7"/>
  <c r="AN138" i="7"/>
  <c r="AM138" i="7"/>
  <c r="AQ139" i="7"/>
  <c r="BZ157" i="7"/>
  <c r="CC157" i="7"/>
  <c r="CB158" i="7"/>
  <c r="AK239" i="7"/>
  <c r="AC121" i="7"/>
  <c r="BH166" i="7"/>
  <c r="BE166" i="7"/>
  <c r="BC166" i="7"/>
  <c r="AK238" i="7"/>
  <c r="BG167" i="7"/>
  <c r="AF240" i="7"/>
  <c r="AI242" i="7"/>
  <c r="AJ240" i="7"/>
  <c r="AG240" i="7"/>
  <c r="AE240" i="7"/>
  <c r="BU121" i="7"/>
  <c r="BV121" i="7" s="1"/>
  <c r="BQ121" i="7"/>
  <c r="BP121" i="7"/>
  <c r="AU168" i="7"/>
  <c r="AZ168" i="7"/>
  <c r="AW168" i="7"/>
  <c r="AV168" i="7"/>
  <c r="AZ167" i="7"/>
  <c r="AU167" i="7"/>
  <c r="AV167" i="7"/>
  <c r="AW167" i="7"/>
  <c r="AH242" i="7"/>
  <c r="AI243" i="7"/>
  <c r="AE241" i="7"/>
  <c r="AJ241" i="7"/>
  <c r="AG241" i="7"/>
  <c r="AF241" i="7"/>
  <c r="AY169" i="7"/>
  <c r="AY170" i="7" s="1"/>
  <c r="BS122" i="7"/>
  <c r="Z122" i="7"/>
  <c r="AH243" i="7"/>
  <c r="W122" i="7"/>
  <c r="X122" i="7"/>
  <c r="AB122" i="7"/>
  <c r="Y122" i="7"/>
  <c r="AA123" i="7"/>
  <c r="G244" i="7"/>
  <c r="CA244" i="7" s="1"/>
  <c r="G245" i="7"/>
  <c r="CA245" i="7" s="1"/>
  <c r="F123" i="7"/>
  <c r="L122" i="7"/>
  <c r="BI165" i="7" l="1"/>
  <c r="AS138" i="7"/>
  <c r="CW162" i="7"/>
  <c r="DA162" i="7"/>
  <c r="CV162" i="7"/>
  <c r="CX162" i="7"/>
  <c r="CZ163" i="7"/>
  <c r="BR123" i="7"/>
  <c r="BT124" i="7"/>
  <c r="DB161" i="7"/>
  <c r="CT159" i="7"/>
  <c r="CL176" i="7"/>
  <c r="CD157" i="7"/>
  <c r="CJ179" i="7"/>
  <c r="CJ180" i="7" s="1"/>
  <c r="CG178" i="7"/>
  <c r="CF178" i="7"/>
  <c r="CH178" i="7"/>
  <c r="CK178" i="7"/>
  <c r="CF177" i="7"/>
  <c r="CG177" i="7"/>
  <c r="CH177" i="7"/>
  <c r="CK177" i="7"/>
  <c r="BI166" i="7"/>
  <c r="CN160" i="7"/>
  <c r="CO160" i="7"/>
  <c r="CP160" i="7"/>
  <c r="CS160" i="7"/>
  <c r="BY158" i="7"/>
  <c r="BX158" i="7"/>
  <c r="AK240" i="7"/>
  <c r="CR161" i="7"/>
  <c r="AR139" i="7"/>
  <c r="AO139" i="7"/>
  <c r="AN139" i="7"/>
  <c r="AM139" i="7"/>
  <c r="AQ140" i="7"/>
  <c r="CC158" i="7"/>
  <c r="BZ158" i="7"/>
  <c r="CB159" i="7"/>
  <c r="AK241" i="7"/>
  <c r="BE167" i="7"/>
  <c r="BD167" i="7"/>
  <c r="BH167" i="7"/>
  <c r="BI167" i="7" s="1"/>
  <c r="BC167" i="7"/>
  <c r="BG168" i="7"/>
  <c r="AC122" i="7"/>
  <c r="AU170" i="7"/>
  <c r="AZ170" i="7"/>
  <c r="AV170" i="7"/>
  <c r="AW170" i="7"/>
  <c r="AE243" i="7"/>
  <c r="AG243" i="7"/>
  <c r="AI245" i="7"/>
  <c r="AF243" i="7"/>
  <c r="AJ243" i="7"/>
  <c r="AF242" i="7"/>
  <c r="AJ242" i="7"/>
  <c r="AG242" i="7"/>
  <c r="AE242" i="7"/>
  <c r="AI244" i="7"/>
  <c r="BS123" i="7"/>
  <c r="Z123" i="7"/>
  <c r="AY171" i="7"/>
  <c r="AY172" i="7" s="1"/>
  <c r="BA168" i="7"/>
  <c r="AU169" i="7"/>
  <c r="AV169" i="7"/>
  <c r="AZ169" i="7"/>
  <c r="AW169" i="7"/>
  <c r="AH245" i="7"/>
  <c r="AH244" i="7"/>
  <c r="X123" i="7"/>
  <c r="AB123" i="7"/>
  <c r="AA124" i="7"/>
  <c r="Y123" i="7"/>
  <c r="W123" i="7"/>
  <c r="BA167" i="7"/>
  <c r="BU122" i="7"/>
  <c r="BV122" i="7" s="1"/>
  <c r="BP122" i="7"/>
  <c r="BQ122" i="7"/>
  <c r="G246" i="7"/>
  <c r="CA246" i="7" s="1"/>
  <c r="G247" i="7"/>
  <c r="CA247" i="7" s="1"/>
  <c r="F124" i="7"/>
  <c r="L123" i="7"/>
  <c r="DB162" i="7" l="1"/>
  <c r="CL178" i="7"/>
  <c r="CL177" i="7"/>
  <c r="CT160" i="7"/>
  <c r="BR124" i="7"/>
  <c r="BT125" i="7"/>
  <c r="CZ164" i="7"/>
  <c r="CZ165" i="7" s="1"/>
  <c r="CV163" i="7"/>
  <c r="CW163" i="7"/>
  <c r="CX163" i="7"/>
  <c r="DA163" i="7"/>
  <c r="CD158" i="7"/>
  <c r="CG180" i="7"/>
  <c r="CH180" i="7"/>
  <c r="CK180" i="7"/>
  <c r="CF180" i="7"/>
  <c r="BA169" i="7"/>
  <c r="CJ181" i="7"/>
  <c r="BA170" i="7"/>
  <c r="CH179" i="7"/>
  <c r="CK179" i="7"/>
  <c r="CF179" i="7"/>
  <c r="CG179" i="7"/>
  <c r="CR162" i="7"/>
  <c r="CR163" i="7" s="1"/>
  <c r="CO161" i="7"/>
  <c r="CP161" i="7"/>
  <c r="CS161" i="7"/>
  <c r="CN161" i="7"/>
  <c r="AS139" i="7"/>
  <c r="BY159" i="7"/>
  <c r="BX159" i="7"/>
  <c r="AR140" i="7"/>
  <c r="AO140" i="7"/>
  <c r="AN140" i="7"/>
  <c r="AM140" i="7"/>
  <c r="AQ141" i="7"/>
  <c r="BZ159" i="7"/>
  <c r="CC159" i="7"/>
  <c r="CB160" i="7"/>
  <c r="AK243" i="7"/>
  <c r="AK242" i="7"/>
  <c r="BE168" i="7"/>
  <c r="BD168" i="7"/>
  <c r="BC168" i="7"/>
  <c r="BH168" i="7"/>
  <c r="BG169" i="7"/>
  <c r="BG170" i="7" s="1"/>
  <c r="BG171" i="7" s="1"/>
  <c r="AW172" i="7"/>
  <c r="AV172" i="7"/>
  <c r="AU172" i="7"/>
  <c r="AZ172" i="7"/>
  <c r="AY173" i="7"/>
  <c r="AY174" i="7" s="1"/>
  <c r="AI246" i="7"/>
  <c r="AF244" i="7"/>
  <c r="AJ244" i="7"/>
  <c r="AE244" i="7"/>
  <c r="AG244" i="7"/>
  <c r="AH246" i="7"/>
  <c r="AC123" i="7"/>
  <c r="AB124" i="7"/>
  <c r="X124" i="7"/>
  <c r="Y124" i="7"/>
  <c r="AA125" i="7"/>
  <c r="W124" i="7"/>
  <c r="BU123" i="7"/>
  <c r="BV123" i="7" s="1"/>
  <c r="BQ123" i="7"/>
  <c r="BP123" i="7"/>
  <c r="AE245" i="7"/>
  <c r="AG245" i="7"/>
  <c r="AJ245" i="7"/>
  <c r="AI247" i="7"/>
  <c r="AF245" i="7"/>
  <c r="AZ171" i="7"/>
  <c r="AV171" i="7"/>
  <c r="AW171" i="7"/>
  <c r="AU171" i="7"/>
  <c r="BS124" i="7"/>
  <c r="Z124" i="7"/>
  <c r="AH247" i="7"/>
  <c r="G248" i="7"/>
  <c r="CA248" i="7" s="1"/>
  <c r="G249" i="7"/>
  <c r="CA249" i="7" s="1"/>
  <c r="F125" i="7"/>
  <c r="L124" i="7"/>
  <c r="CT161" i="7" l="1"/>
  <c r="DB163" i="7"/>
  <c r="CL180" i="7"/>
  <c r="CZ166" i="7"/>
  <c r="DA165" i="7"/>
  <c r="CW165" i="7"/>
  <c r="CX165" i="7"/>
  <c r="CV165" i="7"/>
  <c r="BI168" i="7"/>
  <c r="CV164" i="7"/>
  <c r="CW164" i="7"/>
  <c r="CX164" i="7"/>
  <c r="DA164" i="7"/>
  <c r="BT126" i="7"/>
  <c r="BR125" i="7"/>
  <c r="CD159" i="7"/>
  <c r="CL179" i="7"/>
  <c r="CH181" i="7"/>
  <c r="CK181" i="7"/>
  <c r="CF181" i="7"/>
  <c r="CG181" i="7"/>
  <c r="CJ182" i="7"/>
  <c r="CP163" i="7"/>
  <c r="CS163" i="7"/>
  <c r="CN163" i="7"/>
  <c r="CO163" i="7"/>
  <c r="CR164" i="7"/>
  <c r="AS140" i="7"/>
  <c r="BA172" i="7"/>
  <c r="BY160" i="7"/>
  <c r="BX160" i="7"/>
  <c r="CN162" i="7"/>
  <c r="CO162" i="7"/>
  <c r="CP162" i="7"/>
  <c r="CS162" i="7"/>
  <c r="AR141" i="7"/>
  <c r="AO141" i="7"/>
  <c r="AN141" i="7"/>
  <c r="AM141" i="7"/>
  <c r="AQ142" i="7"/>
  <c r="CC160" i="7"/>
  <c r="BZ160" i="7"/>
  <c r="CB161" i="7"/>
  <c r="BE171" i="7"/>
  <c r="BG172" i="7"/>
  <c r="BG173" i="7" s="1"/>
  <c r="BD173" i="7" s="1"/>
  <c r="BD171" i="7"/>
  <c r="BH171" i="7"/>
  <c r="BC171" i="7"/>
  <c r="AK244" i="7"/>
  <c r="AC124" i="7"/>
  <c r="BH170" i="7"/>
  <c r="BE170" i="7"/>
  <c r="BC170" i="7"/>
  <c r="BD170" i="7"/>
  <c r="BA171" i="7"/>
  <c r="AK245" i="7"/>
  <c r="BC169" i="7"/>
  <c r="BE169" i="7"/>
  <c r="BD169" i="7"/>
  <c r="BH169" i="7"/>
  <c r="Z125" i="7"/>
  <c r="BS125" i="7"/>
  <c r="AE246" i="7"/>
  <c r="AJ246" i="7"/>
  <c r="AF246" i="7"/>
  <c r="AG246" i="7"/>
  <c r="AI248" i="7"/>
  <c r="AI249" i="7"/>
  <c r="AF247" i="7"/>
  <c r="AE247" i="7"/>
  <c r="AJ247" i="7"/>
  <c r="AG247" i="7"/>
  <c r="BU124" i="7"/>
  <c r="BV124" i="7" s="1"/>
  <c r="BQ124" i="7"/>
  <c r="BP124" i="7"/>
  <c r="AV173" i="7"/>
  <c r="AZ173" i="7"/>
  <c r="AW173" i="7"/>
  <c r="AU173" i="7"/>
  <c r="AH249" i="7"/>
  <c r="AH248" i="7"/>
  <c r="AU174" i="7"/>
  <c r="AZ174" i="7"/>
  <c r="AW174" i="7"/>
  <c r="AV174" i="7"/>
  <c r="AB125" i="7"/>
  <c r="AA126" i="7"/>
  <c r="Y125" i="7"/>
  <c r="X125" i="7"/>
  <c r="W125" i="7"/>
  <c r="AY175" i="7"/>
  <c r="G250" i="7"/>
  <c r="CA250" i="7" s="1"/>
  <c r="G251" i="7"/>
  <c r="CA251" i="7" s="1"/>
  <c r="F126" i="7"/>
  <c r="L125" i="7"/>
  <c r="DB165" i="7" l="1"/>
  <c r="CL181" i="7"/>
  <c r="DB164" i="7"/>
  <c r="BT127" i="7"/>
  <c r="BR126" i="7"/>
  <c r="CT163" i="7"/>
  <c r="CW166" i="7"/>
  <c r="DA166" i="7"/>
  <c r="CX166" i="7"/>
  <c r="CV166" i="7"/>
  <c r="CZ167" i="7"/>
  <c r="AS141" i="7"/>
  <c r="BA173" i="7"/>
  <c r="BA174" i="7"/>
  <c r="BI171" i="7"/>
  <c r="CH182" i="7"/>
  <c r="CK182" i="7"/>
  <c r="CF182" i="7"/>
  <c r="CG182" i="7"/>
  <c r="CJ183" i="7"/>
  <c r="CJ184" i="7" s="1"/>
  <c r="BI170" i="7"/>
  <c r="BD172" i="7"/>
  <c r="CT162" i="7"/>
  <c r="BI169" i="7"/>
  <c r="CO164" i="7"/>
  <c r="CS164" i="7"/>
  <c r="CN164" i="7"/>
  <c r="CP164" i="7"/>
  <c r="CR165" i="7"/>
  <c r="BY161" i="7"/>
  <c r="BX161" i="7"/>
  <c r="BH172" i="7"/>
  <c r="BE172" i="7"/>
  <c r="CD160" i="7"/>
  <c r="BC172" i="7"/>
  <c r="AR142" i="7"/>
  <c r="AO142" i="7"/>
  <c r="AN142" i="7"/>
  <c r="AM142" i="7"/>
  <c r="AQ143" i="7"/>
  <c r="CC161" i="7"/>
  <c r="BZ161" i="7"/>
  <c r="CB162" i="7"/>
  <c r="BC173" i="7"/>
  <c r="BG174" i="7"/>
  <c r="BE174" i="7" s="1"/>
  <c r="BE173" i="7"/>
  <c r="BH173" i="7"/>
  <c r="AK246" i="7"/>
  <c r="AZ175" i="7"/>
  <c r="AW175" i="7"/>
  <c r="AU175" i="7"/>
  <c r="AV175" i="7"/>
  <c r="AY176" i="7"/>
  <c r="AY177" i="7" s="1"/>
  <c r="BU125" i="7"/>
  <c r="BV125" i="7" s="1"/>
  <c r="BQ125" i="7"/>
  <c r="BP125" i="7"/>
  <c r="AB126" i="7"/>
  <c r="AA127" i="7"/>
  <c r="W126" i="7"/>
  <c r="Y126" i="7"/>
  <c r="X126" i="7"/>
  <c r="BS126" i="7"/>
  <c r="Z126" i="7"/>
  <c r="AK247" i="7"/>
  <c r="AC125" i="7"/>
  <c r="AH251" i="7"/>
  <c r="AH250" i="7"/>
  <c r="AJ249" i="7"/>
  <c r="AG249" i="7"/>
  <c r="AF249" i="7"/>
  <c r="AE249" i="7"/>
  <c r="AI251" i="7"/>
  <c r="AI250" i="7"/>
  <c r="AG248" i="7"/>
  <c r="AE248" i="7"/>
  <c r="AF248" i="7"/>
  <c r="AJ248" i="7"/>
  <c r="G253" i="7"/>
  <c r="CA253" i="7" s="1"/>
  <c r="G252" i="7"/>
  <c r="CA252" i="7" s="1"/>
  <c r="F127" i="7"/>
  <c r="L126" i="7"/>
  <c r="DB166" i="7" l="1"/>
  <c r="CL182" i="7"/>
  <c r="DA167" i="7"/>
  <c r="CV167" i="7"/>
  <c r="CX167" i="7"/>
  <c r="CW167" i="7"/>
  <c r="CZ168" i="7"/>
  <c r="BT128" i="7"/>
  <c r="BR127" i="7"/>
  <c r="BI173" i="7"/>
  <c r="CF184" i="7"/>
  <c r="CK184" i="7"/>
  <c r="CG184" i="7"/>
  <c r="CH184" i="7"/>
  <c r="CH183" i="7"/>
  <c r="CG183" i="7"/>
  <c r="CF183" i="7"/>
  <c r="CK183" i="7"/>
  <c r="CJ185" i="7"/>
  <c r="CD161" i="7"/>
  <c r="BC174" i="7"/>
  <c r="CR166" i="7"/>
  <c r="CR167" i="7" s="1"/>
  <c r="CN165" i="7"/>
  <c r="CO165" i="7"/>
  <c r="CP165" i="7"/>
  <c r="CS165" i="7"/>
  <c r="CT164" i="7"/>
  <c r="AS142" i="7"/>
  <c r="BI172" i="7"/>
  <c r="BY162" i="7"/>
  <c r="BX162" i="7"/>
  <c r="BG175" i="7"/>
  <c r="BD175" i="7" s="1"/>
  <c r="BD174" i="7"/>
  <c r="BH174" i="7"/>
  <c r="BI174" i="7" s="1"/>
  <c r="AR143" i="7"/>
  <c r="AO143" i="7"/>
  <c r="AN143" i="7"/>
  <c r="AM143" i="7"/>
  <c r="AQ144" i="7"/>
  <c r="CC162" i="7"/>
  <c r="BZ162" i="7"/>
  <c r="CB163" i="7"/>
  <c r="AK249" i="7"/>
  <c r="BA175" i="7"/>
  <c r="AU177" i="7"/>
  <c r="AW177" i="7"/>
  <c r="AV177" i="7"/>
  <c r="AZ177" i="7"/>
  <c r="AI252" i="7"/>
  <c r="AE250" i="7"/>
  <c r="AJ250" i="7"/>
  <c r="AG250" i="7"/>
  <c r="AF250" i="7"/>
  <c r="AY178" i="7"/>
  <c r="AY179" i="7" s="1"/>
  <c r="AH252" i="7"/>
  <c r="BQ126" i="7"/>
  <c r="BU126" i="7"/>
  <c r="BV126" i="7" s="1"/>
  <c r="BP126" i="7"/>
  <c r="BS127" i="7"/>
  <c r="Z127" i="7"/>
  <c r="AH253" i="7"/>
  <c r="AU176" i="7"/>
  <c r="AV176" i="7"/>
  <c r="AZ176" i="7"/>
  <c r="AW176" i="7"/>
  <c r="AF251" i="7"/>
  <c r="AE251" i="7"/>
  <c r="AJ251" i="7"/>
  <c r="AG251" i="7"/>
  <c r="AI253" i="7"/>
  <c r="AC126" i="7"/>
  <c r="AK248" i="7"/>
  <c r="AA128" i="7"/>
  <c r="AB127" i="7"/>
  <c r="X127" i="7"/>
  <c r="W127" i="7"/>
  <c r="Y127" i="7"/>
  <c r="G255" i="7"/>
  <c r="CA255" i="7" s="1"/>
  <c r="G254" i="7"/>
  <c r="CA254" i="7" s="1"/>
  <c r="F128" i="7"/>
  <c r="L127" i="7"/>
  <c r="DB167" i="7" l="1"/>
  <c r="CL183" i="7"/>
  <c r="CT165" i="7"/>
  <c r="BT129" i="7"/>
  <c r="BR128" i="7"/>
  <c r="CZ169" i="7"/>
  <c r="DA168" i="7"/>
  <c r="CV168" i="7"/>
  <c r="CX168" i="7"/>
  <c r="CW168" i="7"/>
  <c r="BA177" i="7"/>
  <c r="AC127" i="7"/>
  <c r="BE175" i="7"/>
  <c r="CD162" i="7"/>
  <c r="BH175" i="7"/>
  <c r="BC175" i="7"/>
  <c r="BG176" i="7"/>
  <c r="BG177" i="7" s="1"/>
  <c r="CK185" i="7"/>
  <c r="CF185" i="7"/>
  <c r="CG185" i="7"/>
  <c r="CH185" i="7"/>
  <c r="CJ186" i="7"/>
  <c r="CJ187" i="7" s="1"/>
  <c r="CL184" i="7"/>
  <c r="CR168" i="7"/>
  <c r="CN167" i="7"/>
  <c r="CP167" i="7"/>
  <c r="CS167" i="7"/>
  <c r="CO167" i="7"/>
  <c r="AS143" i="7"/>
  <c r="CP166" i="7"/>
  <c r="CS166" i="7"/>
  <c r="CN166" i="7"/>
  <c r="CO166" i="7"/>
  <c r="BX163" i="7"/>
  <c r="BY163" i="7"/>
  <c r="AR144" i="7"/>
  <c r="AO144" i="7"/>
  <c r="AN144" i="7"/>
  <c r="AM144" i="7"/>
  <c r="AQ145" i="7"/>
  <c r="BZ163" i="7"/>
  <c r="CC163" i="7"/>
  <c r="CB164" i="7"/>
  <c r="AK251" i="7"/>
  <c r="AE252" i="7"/>
  <c r="AF252" i="7"/>
  <c r="AJ252" i="7"/>
  <c r="AI254" i="7"/>
  <c r="AG252" i="7"/>
  <c r="AE253" i="7"/>
  <c r="AJ253" i="7"/>
  <c r="AF253" i="7"/>
  <c r="AG253" i="7"/>
  <c r="AI255" i="7"/>
  <c r="BQ127" i="7"/>
  <c r="BU127" i="7"/>
  <c r="BV127" i="7" s="1"/>
  <c r="BP127" i="7"/>
  <c r="AZ178" i="7"/>
  <c r="AV178" i="7"/>
  <c r="AW178" i="7"/>
  <c r="AU178" i="7"/>
  <c r="X128" i="7"/>
  <c r="AB128" i="7"/>
  <c r="W128" i="7"/>
  <c r="Y128" i="7"/>
  <c r="AA129" i="7"/>
  <c r="AU179" i="7"/>
  <c r="AZ179" i="7"/>
  <c r="AW179" i="7"/>
  <c r="AV179" i="7"/>
  <c r="BS128" i="7"/>
  <c r="Z128" i="7"/>
  <c r="AH254" i="7"/>
  <c r="BA176" i="7"/>
  <c r="AK250" i="7"/>
  <c r="AY180" i="7"/>
  <c r="AH255" i="7"/>
  <c r="G257" i="7"/>
  <c r="CA257" i="7" s="1"/>
  <c r="G256" i="7"/>
  <c r="CA256" i="7" s="1"/>
  <c r="F129" i="7"/>
  <c r="L128" i="7"/>
  <c r="DB168" i="7" l="1"/>
  <c r="BI175" i="7"/>
  <c r="CT166" i="7"/>
  <c r="CD163" i="7"/>
  <c r="CV169" i="7"/>
  <c r="CW169" i="7"/>
  <c r="CX169" i="7"/>
  <c r="DA169" i="7"/>
  <c r="BR129" i="7"/>
  <c r="BT130" i="7"/>
  <c r="CZ170" i="7"/>
  <c r="CZ171" i="7" s="1"/>
  <c r="BH176" i="7"/>
  <c r="BD176" i="7"/>
  <c r="BC176" i="7"/>
  <c r="BE176" i="7"/>
  <c r="CH187" i="7"/>
  <c r="CG187" i="7"/>
  <c r="CK187" i="7"/>
  <c r="CF187" i="7"/>
  <c r="CH186" i="7"/>
  <c r="CG186" i="7"/>
  <c r="CK186" i="7"/>
  <c r="CL186" i="7" s="1"/>
  <c r="CF186" i="7"/>
  <c r="CJ188" i="7"/>
  <c r="CT167" i="7"/>
  <c r="CL185" i="7"/>
  <c r="AS144" i="7"/>
  <c r="BX164" i="7"/>
  <c r="BY164" i="7"/>
  <c r="CS168" i="7"/>
  <c r="CN168" i="7"/>
  <c r="CO168" i="7"/>
  <c r="CP168" i="7"/>
  <c r="CR169" i="7"/>
  <c r="AR145" i="7"/>
  <c r="AO145" i="7"/>
  <c r="AN145" i="7"/>
  <c r="AM145" i="7"/>
  <c r="AQ146" i="7"/>
  <c r="CC164" i="7"/>
  <c r="BZ164" i="7"/>
  <c r="CB165" i="7"/>
  <c r="BA178" i="7"/>
  <c r="AE255" i="7"/>
  <c r="AJ255" i="7"/>
  <c r="AI257" i="7"/>
  <c r="AG255" i="7"/>
  <c r="AF255" i="7"/>
  <c r="BP128" i="7"/>
  <c r="BQ128" i="7"/>
  <c r="BU128" i="7"/>
  <c r="BV128" i="7" s="1"/>
  <c r="BA179" i="7"/>
  <c r="AY181" i="7"/>
  <c r="AV180" i="7"/>
  <c r="AU180" i="7"/>
  <c r="AZ180" i="7"/>
  <c r="AW180" i="7"/>
  <c r="BG178" i="7"/>
  <c r="AK253" i="7"/>
  <c r="Y129" i="7"/>
  <c r="X129" i="7"/>
  <c r="W129" i="7"/>
  <c r="AA130" i="7"/>
  <c r="AB129" i="7"/>
  <c r="AG254" i="7"/>
  <c r="AF254" i="7"/>
  <c r="AJ254" i="7"/>
  <c r="AE254" i="7"/>
  <c r="AI256" i="7"/>
  <c r="AH257" i="7"/>
  <c r="BC177" i="7"/>
  <c r="BD177" i="7"/>
  <c r="BH177" i="7"/>
  <c r="BE177" i="7"/>
  <c r="AK252" i="7"/>
  <c r="BS129" i="7"/>
  <c r="Z129" i="7"/>
  <c r="AH256" i="7"/>
  <c r="AC128" i="7"/>
  <c r="G258" i="7"/>
  <c r="CA258" i="7" s="1"/>
  <c r="G259" i="7"/>
  <c r="CA259" i="7" s="1"/>
  <c r="F130" i="7"/>
  <c r="L129" i="7"/>
  <c r="DB169" i="7" l="1"/>
  <c r="CL187" i="7"/>
  <c r="BI176" i="7"/>
  <c r="CD164" i="7"/>
  <c r="CZ172" i="7"/>
  <c r="CV171" i="7"/>
  <c r="CW171" i="7"/>
  <c r="DA171" i="7"/>
  <c r="CX171" i="7"/>
  <c r="CW170" i="7"/>
  <c r="CX170" i="7"/>
  <c r="DA170" i="7"/>
  <c r="CV170" i="7"/>
  <c r="BR130" i="7"/>
  <c r="BT131" i="7"/>
  <c r="AK254" i="7"/>
  <c r="BA180" i="7"/>
  <c r="CH188" i="7"/>
  <c r="CK188" i="7"/>
  <c r="CF188" i="7"/>
  <c r="CG188" i="7"/>
  <c r="CJ189" i="7"/>
  <c r="CJ190" i="7" s="1"/>
  <c r="CT168" i="7"/>
  <c r="AS145" i="7"/>
  <c r="BX165" i="7"/>
  <c r="BY165" i="7"/>
  <c r="CR170" i="7"/>
  <c r="CN169" i="7"/>
  <c r="CO169" i="7"/>
  <c r="CS169" i="7"/>
  <c r="CP169" i="7"/>
  <c r="AK255" i="7"/>
  <c r="AR146" i="7"/>
  <c r="AO146" i="7"/>
  <c r="AN146" i="7"/>
  <c r="AM146" i="7"/>
  <c r="AQ147" i="7"/>
  <c r="BZ165" i="7"/>
  <c r="CC165" i="7"/>
  <c r="CB166" i="7"/>
  <c r="BI177" i="7"/>
  <c r="AJ257" i="7"/>
  <c r="AG257" i="7"/>
  <c r="AI259" i="7"/>
  <c r="AF257" i="7"/>
  <c r="AE257" i="7"/>
  <c r="AW181" i="7"/>
  <c r="AV181" i="7"/>
  <c r="AU181" i="7"/>
  <c r="AZ181" i="7"/>
  <c r="X130" i="7"/>
  <c r="AA131" i="7"/>
  <c r="Y130" i="7"/>
  <c r="W130" i="7"/>
  <c r="AB130" i="7"/>
  <c r="AY182" i="7"/>
  <c r="AY183" i="7" s="1"/>
  <c r="BS130" i="7"/>
  <c r="Z130" i="7"/>
  <c r="AH258" i="7"/>
  <c r="AH259" i="7"/>
  <c r="AJ256" i="7"/>
  <c r="AI258" i="7"/>
  <c r="AE256" i="7"/>
  <c r="AG256" i="7"/>
  <c r="AF256" i="7"/>
  <c r="BP129" i="7"/>
  <c r="BU129" i="7"/>
  <c r="BV129" i="7" s="1"/>
  <c r="BQ129" i="7"/>
  <c r="AC129" i="7"/>
  <c r="BH178" i="7"/>
  <c r="BD178" i="7"/>
  <c r="BE178" i="7"/>
  <c r="BC178" i="7"/>
  <c r="BG179" i="7"/>
  <c r="G260" i="7"/>
  <c r="CA260" i="7" s="1"/>
  <c r="G261" i="7"/>
  <c r="CA261" i="7" s="1"/>
  <c r="F131" i="7"/>
  <c r="L130" i="7"/>
  <c r="CL188" i="7" l="1"/>
  <c r="DB171" i="7"/>
  <c r="DB170" i="7"/>
  <c r="CD165" i="7"/>
  <c r="CZ173" i="7"/>
  <c r="BR131" i="7"/>
  <c r="BT132" i="7"/>
  <c r="CV172" i="7"/>
  <c r="CW172" i="7"/>
  <c r="CX172" i="7"/>
  <c r="DA172" i="7"/>
  <c r="CT169" i="7"/>
  <c r="CK190" i="7"/>
  <c r="CF190" i="7"/>
  <c r="CG190" i="7"/>
  <c r="CH190" i="7"/>
  <c r="CF189" i="7"/>
  <c r="CH189" i="7"/>
  <c r="CG189" i="7"/>
  <c r="CK189" i="7"/>
  <c r="CJ191" i="7"/>
  <c r="BI178" i="7"/>
  <c r="AS146" i="7"/>
  <c r="CR171" i="7"/>
  <c r="BX166" i="7"/>
  <c r="BY166" i="7"/>
  <c r="AK256" i="7"/>
  <c r="CN170" i="7"/>
  <c r="CS170" i="7"/>
  <c r="CO170" i="7"/>
  <c r="CP170" i="7"/>
  <c r="AR147" i="7"/>
  <c r="AO147" i="7"/>
  <c r="AN147" i="7"/>
  <c r="AM147" i="7"/>
  <c r="AQ148" i="7"/>
  <c r="CC166" i="7"/>
  <c r="BZ166" i="7"/>
  <c r="CB167" i="7"/>
  <c r="AK257" i="7"/>
  <c r="AY184" i="7"/>
  <c r="AW184" i="7" s="1"/>
  <c r="AA132" i="7"/>
  <c r="W131" i="7"/>
  <c r="X131" i="7"/>
  <c r="AB131" i="7"/>
  <c r="Y131" i="7"/>
  <c r="AV183" i="7"/>
  <c r="AZ183" i="7"/>
  <c r="AU183" i="7"/>
  <c r="AW183" i="7"/>
  <c r="AG259" i="7"/>
  <c r="AE259" i="7"/>
  <c r="AI261" i="7"/>
  <c r="AJ259" i="7"/>
  <c r="AF259" i="7"/>
  <c r="BU130" i="7"/>
  <c r="BV130" i="7" s="1"/>
  <c r="BQ130" i="7"/>
  <c r="BP130" i="7"/>
  <c r="BA181" i="7"/>
  <c r="BG180" i="7"/>
  <c r="BC179" i="7"/>
  <c r="BD179" i="7"/>
  <c r="BE179" i="7"/>
  <c r="BH179" i="7"/>
  <c r="BS131" i="7"/>
  <c r="Z131" i="7"/>
  <c r="AU182" i="7"/>
  <c r="AV182" i="7"/>
  <c r="AZ182" i="7"/>
  <c r="AW182" i="7"/>
  <c r="AH260" i="7"/>
  <c r="AH261" i="7"/>
  <c r="AJ258" i="7"/>
  <c r="AI260" i="7"/>
  <c r="AG258" i="7"/>
  <c r="AF258" i="7"/>
  <c r="AE258" i="7"/>
  <c r="AC130" i="7"/>
  <c r="G263" i="7"/>
  <c r="CA263" i="7" s="1"/>
  <c r="G262" i="7"/>
  <c r="CA262" i="7" s="1"/>
  <c r="F132" i="7"/>
  <c r="L131" i="7"/>
  <c r="DB172" i="7" l="1"/>
  <c r="AK259" i="7"/>
  <c r="CL189" i="7"/>
  <c r="BR132" i="7"/>
  <c r="BT133" i="7"/>
  <c r="DA173" i="7"/>
  <c r="CW173" i="7"/>
  <c r="CV173" i="7"/>
  <c r="CX173" i="7"/>
  <c r="CZ174" i="7"/>
  <c r="AS147" i="7"/>
  <c r="AK258" i="7"/>
  <c r="CG191" i="7"/>
  <c r="CF191" i="7"/>
  <c r="CK191" i="7"/>
  <c r="CH191" i="7"/>
  <c r="CJ192" i="7"/>
  <c r="CJ193" i="7" s="1"/>
  <c r="CD166" i="7"/>
  <c r="BA183" i="7"/>
  <c r="CL190" i="7"/>
  <c r="BA182" i="7"/>
  <c r="CT170" i="7"/>
  <c r="CR172" i="7"/>
  <c r="CN171" i="7"/>
  <c r="CP171" i="7"/>
  <c r="CO171" i="7"/>
  <c r="CS171" i="7"/>
  <c r="BX167" i="7"/>
  <c r="BY167" i="7"/>
  <c r="AR148" i="7"/>
  <c r="AO148" i="7"/>
  <c r="AN148" i="7"/>
  <c r="AM148" i="7"/>
  <c r="AQ149" i="7"/>
  <c r="BZ167" i="7"/>
  <c r="CC167" i="7"/>
  <c r="CB168" i="7"/>
  <c r="AU184" i="7"/>
  <c r="AZ184" i="7"/>
  <c r="BA184" i="7" s="1"/>
  <c r="AY185" i="7"/>
  <c r="AZ185" i="7" s="1"/>
  <c r="AV184" i="7"/>
  <c r="AH263" i="7"/>
  <c r="AJ260" i="7"/>
  <c r="AI262" i="7"/>
  <c r="AF260" i="7"/>
  <c r="AE260" i="7"/>
  <c r="AG260" i="7"/>
  <c r="AC131" i="7"/>
  <c r="BI179" i="7"/>
  <c r="AJ261" i="7"/>
  <c r="AI263" i="7"/>
  <c r="AG261" i="7"/>
  <c r="AF261" i="7"/>
  <c r="AE261" i="7"/>
  <c r="BS132" i="7"/>
  <c r="Z132" i="7"/>
  <c r="AH262" i="7"/>
  <c r="BD180" i="7"/>
  <c r="BC180" i="7"/>
  <c r="BH180" i="7"/>
  <c r="BE180" i="7"/>
  <c r="AB132" i="7"/>
  <c r="Y132" i="7"/>
  <c r="X132" i="7"/>
  <c r="W132" i="7"/>
  <c r="AA133" i="7"/>
  <c r="BU131" i="7"/>
  <c r="BV131" i="7" s="1"/>
  <c r="BP131" i="7"/>
  <c r="BQ131" i="7"/>
  <c r="BG181" i="7"/>
  <c r="G264" i="7"/>
  <c r="CA264" i="7" s="1"/>
  <c r="G265" i="7"/>
  <c r="CA265" i="7" s="1"/>
  <c r="F133" i="7"/>
  <c r="L132" i="7"/>
  <c r="DB173" i="7" l="1"/>
  <c r="CX174" i="7"/>
  <c r="CV174" i="7"/>
  <c r="CW174" i="7"/>
  <c r="DA174" i="7"/>
  <c r="CZ175" i="7"/>
  <c r="BT134" i="7"/>
  <c r="BR133" i="7"/>
  <c r="CL191" i="7"/>
  <c r="CT171" i="7"/>
  <c r="CF193" i="7"/>
  <c r="CG193" i="7"/>
  <c r="CK193" i="7"/>
  <c r="CH193" i="7"/>
  <c r="CH192" i="7"/>
  <c r="CF192" i="7"/>
  <c r="CG192" i="7"/>
  <c r="CK192" i="7"/>
  <c r="CL192" i="7" s="1"/>
  <c r="CJ194" i="7"/>
  <c r="AW185" i="7"/>
  <c r="BA185" i="7" s="1"/>
  <c r="AS148" i="7"/>
  <c r="CN172" i="7"/>
  <c r="CO172" i="7"/>
  <c r="CP172" i="7"/>
  <c r="CS172" i="7"/>
  <c r="CR173" i="7"/>
  <c r="BX168" i="7"/>
  <c r="BY168" i="7"/>
  <c r="BI180" i="7"/>
  <c r="CD167" i="7"/>
  <c r="AY186" i="7"/>
  <c r="AV186" i="7" s="1"/>
  <c r="AR149" i="7"/>
  <c r="AO149" i="7"/>
  <c r="AN149" i="7"/>
  <c r="AM149" i="7"/>
  <c r="AQ150" i="7"/>
  <c r="BZ168" i="7"/>
  <c r="CC168" i="7"/>
  <c r="CB169" i="7"/>
  <c r="AU185" i="7"/>
  <c r="AV185" i="7"/>
  <c r="AC132" i="7"/>
  <c r="AH264" i="7"/>
  <c r="AH265" i="7"/>
  <c r="AE263" i="7"/>
  <c r="AJ263" i="7"/>
  <c r="AF263" i="7"/>
  <c r="AG263" i="7"/>
  <c r="AI265" i="7"/>
  <c r="AJ262" i="7"/>
  <c r="AI264" i="7"/>
  <c r="AG262" i="7"/>
  <c r="AE262" i="7"/>
  <c r="AF262" i="7"/>
  <c r="AK261" i="7"/>
  <c r="AK260" i="7"/>
  <c r="BH181" i="7"/>
  <c r="BE181" i="7"/>
  <c r="BD181" i="7"/>
  <c r="BC181" i="7"/>
  <c r="BS133" i="7"/>
  <c r="Z133" i="7"/>
  <c r="X133" i="7"/>
  <c r="W133" i="7"/>
  <c r="AB133" i="7"/>
  <c r="AA134" i="7"/>
  <c r="Y133" i="7"/>
  <c r="BG182" i="7"/>
  <c r="BU132" i="7"/>
  <c r="BV132" i="7" s="1"/>
  <c r="BQ132" i="7"/>
  <c r="BP132" i="7"/>
  <c r="G266" i="7"/>
  <c r="CA266" i="7" s="1"/>
  <c r="G267" i="7"/>
  <c r="CA267" i="7" s="1"/>
  <c r="F134" i="7"/>
  <c r="L133" i="7"/>
  <c r="DB174" i="7" l="1"/>
  <c r="CL193" i="7"/>
  <c r="BT135" i="7"/>
  <c r="BR134" i="7"/>
  <c r="DA175" i="7"/>
  <c r="CW175" i="7"/>
  <c r="CV175" i="7"/>
  <c r="CX175" i="7"/>
  <c r="CZ176" i="7"/>
  <c r="CZ177" i="7" s="1"/>
  <c r="CD168" i="7"/>
  <c r="CG194" i="7"/>
  <c r="CK194" i="7"/>
  <c r="CH194" i="7"/>
  <c r="CF194" i="7"/>
  <c r="CJ195" i="7"/>
  <c r="CJ196" i="7" s="1"/>
  <c r="BY169" i="7"/>
  <c r="BX169" i="7"/>
  <c r="AU186" i="7"/>
  <c r="AZ186" i="7"/>
  <c r="AW186" i="7"/>
  <c r="AS149" i="7"/>
  <c r="CR174" i="7"/>
  <c r="CS173" i="7"/>
  <c r="CP173" i="7"/>
  <c r="CN173" i="7"/>
  <c r="CO173" i="7"/>
  <c r="AY187" i="7"/>
  <c r="AV187" i="7" s="1"/>
  <c r="CT172" i="7"/>
  <c r="AR150" i="7"/>
  <c r="AO150" i="7"/>
  <c r="AN150" i="7"/>
  <c r="AM150" i="7"/>
  <c r="AQ151" i="7"/>
  <c r="CC169" i="7"/>
  <c r="BZ169" i="7"/>
  <c r="CB170" i="7"/>
  <c r="AC133" i="7"/>
  <c r="BG183" i="7"/>
  <c r="BG184" i="7" s="1"/>
  <c r="BI181" i="7"/>
  <c r="BU133" i="7"/>
  <c r="BV133" i="7" s="1"/>
  <c r="BQ133" i="7"/>
  <c r="BP133" i="7"/>
  <c r="BC182" i="7"/>
  <c r="BH182" i="7"/>
  <c r="BE182" i="7"/>
  <c r="BD182" i="7"/>
  <c r="BS134" i="7"/>
  <c r="Z134" i="7"/>
  <c r="W134" i="7"/>
  <c r="AB134" i="7"/>
  <c r="X134" i="7"/>
  <c r="AA135" i="7"/>
  <c r="Y134" i="7"/>
  <c r="AK262" i="7"/>
  <c r="AH266" i="7"/>
  <c r="AI267" i="7"/>
  <c r="AF265" i="7"/>
  <c r="AE265" i="7"/>
  <c r="AJ265" i="7"/>
  <c r="AG265" i="7"/>
  <c r="AF264" i="7"/>
  <c r="AE264" i="7"/>
  <c r="AJ264" i="7"/>
  <c r="AI266" i="7"/>
  <c r="AG264" i="7"/>
  <c r="AH267" i="7"/>
  <c r="AK263" i="7"/>
  <c r="G268" i="7"/>
  <c r="CA268" i="7" s="1"/>
  <c r="G269" i="7"/>
  <c r="CA269" i="7" s="1"/>
  <c r="F135" i="7"/>
  <c r="L134" i="7"/>
  <c r="DB175" i="7" l="1"/>
  <c r="CT173" i="7"/>
  <c r="CV177" i="7"/>
  <c r="DA177" i="7"/>
  <c r="CX177" i="7"/>
  <c r="CW177" i="7"/>
  <c r="CV176" i="7"/>
  <c r="CW176" i="7"/>
  <c r="DA176" i="7"/>
  <c r="CX176" i="7"/>
  <c r="BT136" i="7"/>
  <c r="BR135" i="7"/>
  <c r="CZ178" i="7"/>
  <c r="CL194" i="7"/>
  <c r="CJ197" i="7"/>
  <c r="CJ198" i="7" s="1"/>
  <c r="CK196" i="7"/>
  <c r="CH196" i="7"/>
  <c r="CG196" i="7"/>
  <c r="CF196" i="7"/>
  <c r="CH195" i="7"/>
  <c r="CF195" i="7"/>
  <c r="CK195" i="7"/>
  <c r="CG195" i="7"/>
  <c r="CP174" i="7"/>
  <c r="CN174" i="7"/>
  <c r="CO174" i="7"/>
  <c r="CS174" i="7"/>
  <c r="BI182" i="7"/>
  <c r="BA186" i="7"/>
  <c r="AY188" i="7"/>
  <c r="AV188" i="7" s="1"/>
  <c r="AS150" i="7"/>
  <c r="AW187" i="7"/>
  <c r="AZ187" i="7"/>
  <c r="AU187" i="7"/>
  <c r="BY170" i="7"/>
  <c r="BX170" i="7"/>
  <c r="CR175" i="7"/>
  <c r="AR151" i="7"/>
  <c r="AO151" i="7"/>
  <c r="AN151" i="7"/>
  <c r="AM151" i="7"/>
  <c r="AQ152" i="7"/>
  <c r="BZ170" i="7"/>
  <c r="CC170" i="7"/>
  <c r="CD169" i="7"/>
  <c r="CB171" i="7"/>
  <c r="AK264" i="7"/>
  <c r="BH184" i="7"/>
  <c r="BE184" i="7"/>
  <c r="BC184" i="7"/>
  <c r="BD184" i="7"/>
  <c r="BG185" i="7"/>
  <c r="BS135" i="7"/>
  <c r="Z135" i="7"/>
  <c r="AF266" i="7"/>
  <c r="AE266" i="7"/>
  <c r="AI268" i="7"/>
  <c r="AG266" i="7"/>
  <c r="AJ266" i="7"/>
  <c r="AG267" i="7"/>
  <c r="AF267" i="7"/>
  <c r="AE267" i="7"/>
  <c r="AJ267" i="7"/>
  <c r="AI269" i="7"/>
  <c r="BU134" i="7"/>
  <c r="BV134" i="7" s="1"/>
  <c r="BP134" i="7"/>
  <c r="BQ134" i="7"/>
  <c r="AH269" i="7"/>
  <c r="AH268" i="7"/>
  <c r="BD183" i="7"/>
  <c r="BC183" i="7"/>
  <c r="BH183" i="7"/>
  <c r="BE183" i="7"/>
  <c r="AB135" i="7"/>
  <c r="AA136" i="7"/>
  <c r="Y135" i="7"/>
  <c r="X135" i="7"/>
  <c r="W135" i="7"/>
  <c r="AK265" i="7"/>
  <c r="AC134" i="7"/>
  <c r="G270" i="7"/>
  <c r="CA270" i="7" s="1"/>
  <c r="G271" i="7"/>
  <c r="CA271" i="7" s="1"/>
  <c r="F136" i="7"/>
  <c r="L135" i="7"/>
  <c r="DB177" i="7" l="1"/>
  <c r="CD170" i="7"/>
  <c r="BA187" i="7"/>
  <c r="DB176" i="7"/>
  <c r="AS151" i="7"/>
  <c r="CL196" i="7"/>
  <c r="CZ179" i="7"/>
  <c r="DA178" i="7"/>
  <c r="CV178" i="7"/>
  <c r="CX178" i="7"/>
  <c r="CW178" i="7"/>
  <c r="BR136" i="7"/>
  <c r="BT137" i="7"/>
  <c r="CL195" i="7"/>
  <c r="CJ199" i="7"/>
  <c r="CH199" i="7" s="1"/>
  <c r="CT174" i="7"/>
  <c r="AW188" i="7"/>
  <c r="AZ188" i="7"/>
  <c r="CK198" i="7"/>
  <c r="CH198" i="7"/>
  <c r="CF198" i="7"/>
  <c r="CG198" i="7"/>
  <c r="AU188" i="7"/>
  <c r="AY189" i="7"/>
  <c r="AV189" i="7" s="1"/>
  <c r="CK197" i="7"/>
  <c r="CF197" i="7"/>
  <c r="CG197" i="7"/>
  <c r="CH197" i="7"/>
  <c r="CR176" i="7"/>
  <c r="CO175" i="7"/>
  <c r="CP175" i="7"/>
  <c r="CS175" i="7"/>
  <c r="CN175" i="7"/>
  <c r="BY171" i="7"/>
  <c r="BX171" i="7"/>
  <c r="AR152" i="7"/>
  <c r="AO152" i="7"/>
  <c r="AN152" i="7"/>
  <c r="AM152" i="7"/>
  <c r="AQ153" i="7"/>
  <c r="CC171" i="7"/>
  <c r="BZ171" i="7"/>
  <c r="CB172" i="7"/>
  <c r="AK267" i="7"/>
  <c r="BI183" i="7"/>
  <c r="AK266" i="7"/>
  <c r="AJ269" i="7"/>
  <c r="AI271" i="7"/>
  <c r="AG269" i="7"/>
  <c r="AF269" i="7"/>
  <c r="AE269" i="7"/>
  <c r="AF268" i="7"/>
  <c r="AE268" i="7"/>
  <c r="AI270" i="7"/>
  <c r="AJ268" i="7"/>
  <c r="AG268" i="7"/>
  <c r="AC135" i="7"/>
  <c r="BG186" i="7"/>
  <c r="BS136" i="7"/>
  <c r="Z136" i="7"/>
  <c r="BE185" i="7"/>
  <c r="BD185" i="7"/>
  <c r="BC185" i="7"/>
  <c r="BH185" i="7"/>
  <c r="AH271" i="7"/>
  <c r="AA137" i="7"/>
  <c r="AB136" i="7"/>
  <c r="Y136" i="7"/>
  <c r="X136" i="7"/>
  <c r="W136" i="7"/>
  <c r="AH270" i="7"/>
  <c r="BU135" i="7"/>
  <c r="BV135" i="7" s="1"/>
  <c r="BQ135" i="7"/>
  <c r="BP135" i="7"/>
  <c r="BI184" i="7"/>
  <c r="G273" i="7"/>
  <c r="CA273" i="7" s="1"/>
  <c r="G272" i="7"/>
  <c r="CA272" i="7" s="1"/>
  <c r="F137" i="7"/>
  <c r="L136" i="7"/>
  <c r="DB178" i="7" l="1"/>
  <c r="BA188" i="7"/>
  <c r="BT138" i="7"/>
  <c r="BR137" i="7"/>
  <c r="CZ180" i="7"/>
  <c r="DA179" i="7"/>
  <c r="CV179" i="7"/>
  <c r="CW179" i="7"/>
  <c r="CX179" i="7"/>
  <c r="AY190" i="7"/>
  <c r="AY191" i="7" s="1"/>
  <c r="AZ191" i="7" s="1"/>
  <c r="CJ200" i="7"/>
  <c r="CG200" i="7" s="1"/>
  <c r="AZ189" i="7"/>
  <c r="AW189" i="7"/>
  <c r="CD171" i="7"/>
  <c r="CG199" i="7"/>
  <c r="CK199" i="7"/>
  <c r="CL199" i="7" s="1"/>
  <c r="CF199" i="7"/>
  <c r="AS152" i="7"/>
  <c r="CL198" i="7"/>
  <c r="BI185" i="7"/>
  <c r="CT175" i="7"/>
  <c r="AU189" i="7"/>
  <c r="CL197" i="7"/>
  <c r="CS176" i="7"/>
  <c r="CP176" i="7"/>
  <c r="CN176" i="7"/>
  <c r="CO176" i="7"/>
  <c r="CR177" i="7"/>
  <c r="BY172" i="7"/>
  <c r="BX172" i="7"/>
  <c r="AR153" i="7"/>
  <c r="AO153" i="7"/>
  <c r="AN153" i="7"/>
  <c r="AM153" i="7"/>
  <c r="AQ154" i="7"/>
  <c r="BZ172" i="7"/>
  <c r="CC172" i="7"/>
  <c r="CB173" i="7"/>
  <c r="AK268" i="7"/>
  <c r="AH273" i="7"/>
  <c r="AF270" i="7"/>
  <c r="AJ270" i="7"/>
  <c r="AI272" i="7"/>
  <c r="AG270" i="7"/>
  <c r="AE270" i="7"/>
  <c r="AF271" i="7"/>
  <c r="AJ271" i="7"/>
  <c r="AE271" i="7"/>
  <c r="AI273" i="7"/>
  <c r="AG271" i="7"/>
  <c r="AK269" i="7"/>
  <c r="AC136" i="7"/>
  <c r="Z137" i="7"/>
  <c r="BS137" i="7"/>
  <c r="X137" i="7"/>
  <c r="AB137" i="7"/>
  <c r="AA138" i="7"/>
  <c r="Y137" i="7"/>
  <c r="W137" i="7"/>
  <c r="BD186" i="7"/>
  <c r="BC186" i="7"/>
  <c r="BH186" i="7"/>
  <c r="BE186" i="7"/>
  <c r="AH272" i="7"/>
  <c r="BQ136" i="7"/>
  <c r="BP136" i="7"/>
  <c r="BU136" i="7"/>
  <c r="BV136" i="7" s="1"/>
  <c r="BG187" i="7"/>
  <c r="G275" i="7"/>
  <c r="CA275" i="7" s="1"/>
  <c r="G274" i="7"/>
  <c r="CA274" i="7" s="1"/>
  <c r="F138" i="7"/>
  <c r="L137" i="7"/>
  <c r="DB179" i="7" l="1"/>
  <c r="AU190" i="7"/>
  <c r="AV190" i="7"/>
  <c r="CX180" i="7"/>
  <c r="CW180" i="7"/>
  <c r="CV180" i="7"/>
  <c r="DA180" i="7"/>
  <c r="DB180" i="7" s="1"/>
  <c r="CZ181" i="7"/>
  <c r="AW190" i="7"/>
  <c r="AZ190" i="7"/>
  <c r="CJ201" i="7"/>
  <c r="CK201" i="7" s="1"/>
  <c r="BA189" i="7"/>
  <c r="BR138" i="7"/>
  <c r="BT139" i="7"/>
  <c r="AY192" i="7"/>
  <c r="AU192" i="7" s="1"/>
  <c r="AU191" i="7"/>
  <c r="AW191" i="7"/>
  <c r="BA191" i="7" s="1"/>
  <c r="CH200" i="7"/>
  <c r="CF200" i="7"/>
  <c r="AV191" i="7"/>
  <c r="CK200" i="7"/>
  <c r="CD172" i="7"/>
  <c r="AS153" i="7"/>
  <c r="CT176" i="7"/>
  <c r="CR178" i="7"/>
  <c r="CN177" i="7"/>
  <c r="CS177" i="7"/>
  <c r="CO177" i="7"/>
  <c r="CP177" i="7"/>
  <c r="BY173" i="7"/>
  <c r="BX173" i="7"/>
  <c r="AR154" i="7"/>
  <c r="AO154" i="7"/>
  <c r="AN154" i="7"/>
  <c r="AM154" i="7"/>
  <c r="AQ155" i="7"/>
  <c r="CC173" i="7"/>
  <c r="BZ173" i="7"/>
  <c r="CB174" i="7"/>
  <c r="AK270" i="7"/>
  <c r="AC137" i="7"/>
  <c r="BI186" i="7"/>
  <c r="AK271" i="7"/>
  <c r="BD187" i="7"/>
  <c r="BC187" i="7"/>
  <c r="BH187" i="7"/>
  <c r="BE187" i="7"/>
  <c r="BG188" i="7"/>
  <c r="AJ273" i="7"/>
  <c r="AI275" i="7"/>
  <c r="AG273" i="7"/>
  <c r="AF273" i="7"/>
  <c r="AE273" i="7"/>
  <c r="BS138" i="7"/>
  <c r="Z138" i="7"/>
  <c r="AH274" i="7"/>
  <c r="BP137" i="7"/>
  <c r="BQ137" i="7"/>
  <c r="BU137" i="7"/>
  <c r="BV137" i="7" s="1"/>
  <c r="AH275" i="7"/>
  <c r="AA139" i="7"/>
  <c r="X138" i="7"/>
  <c r="AB138" i="7"/>
  <c r="W138" i="7"/>
  <c r="Y138" i="7"/>
  <c r="AJ272" i="7"/>
  <c r="AG272" i="7"/>
  <c r="AI274" i="7"/>
  <c r="AF272" i="7"/>
  <c r="AE272" i="7"/>
  <c r="G277" i="7"/>
  <c r="CA277" i="7" s="1"/>
  <c r="G276" i="7"/>
  <c r="CA276" i="7" s="1"/>
  <c r="F139" i="7"/>
  <c r="L138" i="7"/>
  <c r="AY193" i="7" l="1"/>
  <c r="AV193" i="7" s="1"/>
  <c r="AK272" i="7"/>
  <c r="AW192" i="7"/>
  <c r="BA190" i="7"/>
  <c r="AV192" i="7"/>
  <c r="AZ192" i="7"/>
  <c r="BA192" i="7" s="1"/>
  <c r="CD173" i="7"/>
  <c r="CH201" i="7"/>
  <c r="CL201" i="7" s="1"/>
  <c r="CJ202" i="7"/>
  <c r="CJ203" i="7" s="1"/>
  <c r="CG203" i="7" s="1"/>
  <c r="CG201" i="7"/>
  <c r="CF201" i="7"/>
  <c r="CW181" i="7"/>
  <c r="CX181" i="7"/>
  <c r="CV181" i="7"/>
  <c r="DA181" i="7"/>
  <c r="CZ182" i="7"/>
  <c r="BT140" i="7"/>
  <c r="BR139" i="7"/>
  <c r="CL200" i="7"/>
  <c r="AS154" i="7"/>
  <c r="CT177" i="7"/>
  <c r="BY174" i="7"/>
  <c r="BX174" i="7"/>
  <c r="CR179" i="7"/>
  <c r="CO178" i="7"/>
  <c r="CP178" i="7"/>
  <c r="CS178" i="7"/>
  <c r="CN178" i="7"/>
  <c r="BI187" i="7"/>
  <c r="AR155" i="7"/>
  <c r="AO155" i="7"/>
  <c r="AN155" i="7"/>
  <c r="AM155" i="7"/>
  <c r="AQ156" i="7"/>
  <c r="CC174" i="7"/>
  <c r="BZ174" i="7"/>
  <c r="CB175" i="7"/>
  <c r="BD188" i="7"/>
  <c r="BC188" i="7"/>
  <c r="BH188" i="7"/>
  <c r="BE188" i="7"/>
  <c r="AH276" i="7"/>
  <c r="AI277" i="7"/>
  <c r="AE275" i="7"/>
  <c r="AF275" i="7"/>
  <c r="AJ275" i="7"/>
  <c r="AG275" i="7"/>
  <c r="AJ274" i="7"/>
  <c r="AF274" i="7"/>
  <c r="AI276" i="7"/>
  <c r="AG274" i="7"/>
  <c r="AE274" i="7"/>
  <c r="AK273" i="7"/>
  <c r="BU138" i="7"/>
  <c r="BV138" i="7" s="1"/>
  <c r="BQ138" i="7"/>
  <c r="BP138" i="7"/>
  <c r="AC138" i="7"/>
  <c r="W139" i="7"/>
  <c r="AB139" i="7"/>
  <c r="X139" i="7"/>
  <c r="Y139" i="7"/>
  <c r="AA140" i="7"/>
  <c r="BS139" i="7"/>
  <c r="Z139" i="7"/>
  <c r="AH277" i="7"/>
  <c r="BG189" i="7"/>
  <c r="G278" i="7"/>
  <c r="CA278" i="7" s="1"/>
  <c r="F140" i="7"/>
  <c r="L139" i="7"/>
  <c r="AY194" i="7" l="1"/>
  <c r="AY195" i="7" s="1"/>
  <c r="AW193" i="7"/>
  <c r="AZ193" i="7"/>
  <c r="AU193" i="7"/>
  <c r="DB181" i="7"/>
  <c r="CH202" i="7"/>
  <c r="CG202" i="7"/>
  <c r="CK202" i="7"/>
  <c r="CL202" i="7" s="1"/>
  <c r="CJ204" i="7"/>
  <c r="CF204" i="7" s="1"/>
  <c r="CF202" i="7"/>
  <c r="CF203" i="7"/>
  <c r="CK203" i="7"/>
  <c r="CH203" i="7"/>
  <c r="BT141" i="7"/>
  <c r="BR140" i="7"/>
  <c r="CX182" i="7"/>
  <c r="CW182" i="7"/>
  <c r="CV182" i="7"/>
  <c r="DA182" i="7"/>
  <c r="CZ183" i="7"/>
  <c r="CZ184" i="7" s="1"/>
  <c r="CT178" i="7"/>
  <c r="CD174" i="7"/>
  <c r="AS155" i="7"/>
  <c r="AK274" i="7"/>
  <c r="CR180" i="7"/>
  <c r="CN179" i="7"/>
  <c r="CO179" i="7"/>
  <c r="CP179" i="7"/>
  <c r="CS179" i="7"/>
  <c r="BX175" i="7"/>
  <c r="BY175" i="7"/>
  <c r="AR156" i="7"/>
  <c r="AO156" i="7"/>
  <c r="AN156" i="7"/>
  <c r="AM156" i="7"/>
  <c r="AQ157" i="7"/>
  <c r="BZ175" i="7"/>
  <c r="CC175" i="7"/>
  <c r="CB176" i="7"/>
  <c r="AK275" i="7"/>
  <c r="BI188" i="7"/>
  <c r="AH278" i="7"/>
  <c r="BQ139" i="7"/>
  <c r="BP139" i="7"/>
  <c r="BU139" i="7"/>
  <c r="BV139" i="7" s="1"/>
  <c r="AG277" i="7"/>
  <c r="AF277" i="7"/>
  <c r="AJ277" i="7"/>
  <c r="AE277" i="7"/>
  <c r="BG190" i="7"/>
  <c r="BE189" i="7"/>
  <c r="BD189" i="7"/>
  <c r="BC189" i="7"/>
  <c r="BH189" i="7"/>
  <c r="AC139" i="7"/>
  <c r="BA193" i="7"/>
  <c r="AF276" i="7"/>
  <c r="AJ276" i="7"/>
  <c r="AE276" i="7"/>
  <c r="AI278" i="7"/>
  <c r="AG276" i="7"/>
  <c r="Y140" i="7"/>
  <c r="AA141" i="7"/>
  <c r="X140" i="7"/>
  <c r="W140" i="7"/>
  <c r="AB140" i="7"/>
  <c r="BS140" i="7"/>
  <c r="Z140" i="7"/>
  <c r="F141" i="7"/>
  <c r="L140" i="7"/>
  <c r="AV194" i="7" l="1"/>
  <c r="AW194" i="7"/>
  <c r="AU194" i="7"/>
  <c r="AZ194" i="7"/>
  <c r="CL203" i="7"/>
  <c r="CT179" i="7"/>
  <c r="CH204" i="7"/>
  <c r="CJ205" i="7"/>
  <c r="CJ206" i="7" s="1"/>
  <c r="CJ207" i="7" s="1"/>
  <c r="CG204" i="7"/>
  <c r="CK204" i="7"/>
  <c r="DB182" i="7"/>
  <c r="AK277" i="7"/>
  <c r="DA184" i="7"/>
  <c r="CV184" i="7"/>
  <c r="CX184" i="7"/>
  <c r="CW184" i="7"/>
  <c r="CV183" i="7"/>
  <c r="DA183" i="7"/>
  <c r="CW183" i="7"/>
  <c r="CX183" i="7"/>
  <c r="BR141" i="7"/>
  <c r="BT142" i="7"/>
  <c r="CZ185" i="7"/>
  <c r="AS156" i="7"/>
  <c r="CD175" i="7"/>
  <c r="BX176" i="7"/>
  <c r="BY176" i="7"/>
  <c r="CR181" i="7"/>
  <c r="CN180" i="7"/>
  <c r="CO180" i="7"/>
  <c r="CS180" i="7"/>
  <c r="CP180" i="7"/>
  <c r="AR157" i="7"/>
  <c r="AO157" i="7"/>
  <c r="AN157" i="7"/>
  <c r="AM157" i="7"/>
  <c r="AQ158" i="7"/>
  <c r="BZ176" i="7"/>
  <c r="CC176" i="7"/>
  <c r="CB177" i="7"/>
  <c r="AK276" i="7"/>
  <c r="BA194" i="7"/>
  <c r="BI189" i="7"/>
  <c r="BQ140" i="7"/>
  <c r="BU140" i="7"/>
  <c r="BV140" i="7" s="1"/>
  <c r="BP140" i="7"/>
  <c r="BD190" i="7"/>
  <c r="BE190" i="7"/>
  <c r="BH190" i="7"/>
  <c r="BC190" i="7"/>
  <c r="BG191" i="7"/>
  <c r="AG278" i="7"/>
  <c r="AE278" i="7"/>
  <c r="AJ278" i="7"/>
  <c r="AF278" i="7"/>
  <c r="BS141" i="7"/>
  <c r="Z141" i="7"/>
  <c r="AU195" i="7"/>
  <c r="AZ195" i="7"/>
  <c r="AV195" i="7"/>
  <c r="AW195" i="7"/>
  <c r="X141" i="7"/>
  <c r="W141" i="7"/>
  <c r="AB141" i="7"/>
  <c r="AA142" i="7"/>
  <c r="Y141" i="7"/>
  <c r="AY196" i="7"/>
  <c r="AY197" i="7" s="1"/>
  <c r="AC140" i="7"/>
  <c r="F142" i="7"/>
  <c r="L141" i="7"/>
  <c r="AS157" i="7" l="1"/>
  <c r="CL204" i="7"/>
  <c r="CK205" i="7"/>
  <c r="DB183" i="7"/>
  <c r="CG206" i="7"/>
  <c r="CK206" i="7"/>
  <c r="CF206" i="7"/>
  <c r="CH206" i="7"/>
  <c r="CF205" i="7"/>
  <c r="CH205" i="7"/>
  <c r="CG205" i="7"/>
  <c r="CZ186" i="7"/>
  <c r="DA185" i="7"/>
  <c r="CW185" i="7"/>
  <c r="CX185" i="7"/>
  <c r="CV185" i="7"/>
  <c r="BT143" i="7"/>
  <c r="BR142" i="7"/>
  <c r="DB184" i="7"/>
  <c r="BI190" i="7"/>
  <c r="CH207" i="7"/>
  <c r="CF207" i="7"/>
  <c r="CK207" i="7"/>
  <c r="CG207" i="7"/>
  <c r="CJ208" i="7"/>
  <c r="CR182" i="7"/>
  <c r="CS181" i="7"/>
  <c r="CN181" i="7"/>
  <c r="CO181" i="7"/>
  <c r="CP181" i="7"/>
  <c r="CT180" i="7"/>
  <c r="BX177" i="7"/>
  <c r="BY177" i="7"/>
  <c r="CD176" i="7"/>
  <c r="AR158" i="7"/>
  <c r="AO158" i="7"/>
  <c r="AN158" i="7"/>
  <c r="AM158" i="7"/>
  <c r="AQ159" i="7"/>
  <c r="BZ177" i="7"/>
  <c r="CC177" i="7"/>
  <c r="CB178" i="7"/>
  <c r="BG192" i="7"/>
  <c r="BG193" i="7" s="1"/>
  <c r="W142" i="7"/>
  <c r="Y142" i="7"/>
  <c r="AA143" i="7"/>
  <c r="AB142" i="7"/>
  <c r="X142" i="7"/>
  <c r="AK278" i="7"/>
  <c r="BA195" i="7"/>
  <c r="BS142" i="7"/>
  <c r="Z142" i="7"/>
  <c r="AW196" i="7"/>
  <c r="AV196" i="7"/>
  <c r="AU196" i="7"/>
  <c r="AZ196" i="7"/>
  <c r="AY198" i="7"/>
  <c r="AY199" i="7" s="1"/>
  <c r="AY200" i="7" s="1"/>
  <c r="AW197" i="7"/>
  <c r="AU197" i="7"/>
  <c r="AV197" i="7"/>
  <c r="AZ197" i="7"/>
  <c r="BU141" i="7"/>
  <c r="BV141" i="7" s="1"/>
  <c r="BQ141" i="7"/>
  <c r="BP141" i="7"/>
  <c r="AC141" i="7"/>
  <c r="BE191" i="7"/>
  <c r="BH191" i="7"/>
  <c r="BD191" i="7"/>
  <c r="BC191" i="7"/>
  <c r="F143" i="7"/>
  <c r="L142" i="7"/>
  <c r="CL205" i="7" l="1"/>
  <c r="DB185" i="7"/>
  <c r="CL206" i="7"/>
  <c r="CL207" i="7"/>
  <c r="BR143" i="7"/>
  <c r="BT144" i="7"/>
  <c r="CV186" i="7"/>
  <c r="CW186" i="7"/>
  <c r="CX186" i="7"/>
  <c r="DA186" i="7"/>
  <c r="CZ187" i="7"/>
  <c r="CF208" i="7"/>
  <c r="CG208" i="7"/>
  <c r="CH208" i="7"/>
  <c r="CK208" i="7"/>
  <c r="AS158" i="7"/>
  <c r="CT181" i="7"/>
  <c r="BC192" i="7"/>
  <c r="CD177" i="7"/>
  <c r="CJ209" i="7"/>
  <c r="CR183" i="7"/>
  <c r="CP182" i="7"/>
  <c r="CS182" i="7"/>
  <c r="CO182" i="7"/>
  <c r="CN182" i="7"/>
  <c r="BA196" i="7"/>
  <c r="BD192" i="7"/>
  <c r="BE192" i="7"/>
  <c r="BX178" i="7"/>
  <c r="BY178" i="7"/>
  <c r="AR159" i="7"/>
  <c r="AO159" i="7"/>
  <c r="AN159" i="7"/>
  <c r="AM159" i="7"/>
  <c r="AQ160" i="7"/>
  <c r="CC178" i="7"/>
  <c r="BZ178" i="7"/>
  <c r="CB179" i="7"/>
  <c r="BD193" i="7"/>
  <c r="BE193" i="7"/>
  <c r="BC193" i="7"/>
  <c r="BH193" i="7"/>
  <c r="BG194" i="7"/>
  <c r="BC194" i="7" s="1"/>
  <c r="AC142" i="7"/>
  <c r="BH192" i="7"/>
  <c r="BA197" i="7"/>
  <c r="AU200" i="7"/>
  <c r="AV200" i="7"/>
  <c r="AZ200" i="7"/>
  <c r="AW200" i="7"/>
  <c r="AY201" i="7"/>
  <c r="BQ142" i="7"/>
  <c r="BP142" i="7"/>
  <c r="BU142" i="7"/>
  <c r="BV142" i="7" s="1"/>
  <c r="X143" i="7"/>
  <c r="Y143" i="7"/>
  <c r="AB143" i="7"/>
  <c r="W143" i="7"/>
  <c r="AA144" i="7"/>
  <c r="BS143" i="7"/>
  <c r="Z143" i="7"/>
  <c r="AZ199" i="7"/>
  <c r="AV199" i="7"/>
  <c r="AW199" i="7"/>
  <c r="AU199" i="7"/>
  <c r="BI191" i="7"/>
  <c r="AZ198" i="7"/>
  <c r="AV198" i="7"/>
  <c r="AW198" i="7"/>
  <c r="AU198" i="7"/>
  <c r="F144" i="7"/>
  <c r="L143" i="7"/>
  <c r="CT182" i="7" l="1"/>
  <c r="DB186" i="7"/>
  <c r="CX187" i="7"/>
  <c r="CW187" i="7"/>
  <c r="CV187" i="7"/>
  <c r="DA187" i="7"/>
  <c r="DB187" i="7" s="1"/>
  <c r="CZ188" i="7"/>
  <c r="CL208" i="7"/>
  <c r="BT145" i="7"/>
  <c r="BR144" i="7"/>
  <c r="BI193" i="7"/>
  <c r="AS159" i="7"/>
  <c r="BA200" i="7"/>
  <c r="BA199" i="7"/>
  <c r="CJ210" i="7"/>
  <c r="CD178" i="7"/>
  <c r="BI192" i="7"/>
  <c r="CH209" i="7"/>
  <c r="CK209" i="7"/>
  <c r="CL209" i="7" s="1"/>
  <c r="CF209" i="7"/>
  <c r="CG209" i="7"/>
  <c r="BY179" i="7"/>
  <c r="BX179" i="7"/>
  <c r="CR184" i="7"/>
  <c r="CS183" i="7"/>
  <c r="CP183" i="7"/>
  <c r="CN183" i="7"/>
  <c r="CO183" i="7"/>
  <c r="AR160" i="7"/>
  <c r="AO160" i="7"/>
  <c r="AN160" i="7"/>
  <c r="AM160" i="7"/>
  <c r="AQ161" i="7"/>
  <c r="BZ179" i="7"/>
  <c r="CC179" i="7"/>
  <c r="CB180" i="7"/>
  <c r="AC143" i="7"/>
  <c r="BH194" i="7"/>
  <c r="BG195" i="7"/>
  <c r="BE195" i="7" s="1"/>
  <c r="BE194" i="7"/>
  <c r="BA198" i="7"/>
  <c r="BD194" i="7"/>
  <c r="BS144" i="7"/>
  <c r="Z144" i="7"/>
  <c r="BQ143" i="7"/>
  <c r="BP143" i="7"/>
  <c r="BU143" i="7"/>
  <c r="BV143" i="7" s="1"/>
  <c r="AY202" i="7"/>
  <c r="AY203" i="7" s="1"/>
  <c r="AU201" i="7"/>
  <c r="AW201" i="7"/>
  <c r="AV201" i="7"/>
  <c r="AZ201" i="7"/>
  <c r="Y144" i="7"/>
  <c r="X144" i="7"/>
  <c r="AA145" i="7"/>
  <c r="W144" i="7"/>
  <c r="AB144" i="7"/>
  <c r="F145" i="7"/>
  <c r="L144" i="7"/>
  <c r="CT183" i="7" l="1"/>
  <c r="BT146" i="7"/>
  <c r="BR145" i="7"/>
  <c r="DA188" i="7"/>
  <c r="CX188" i="7"/>
  <c r="CV188" i="7"/>
  <c r="CW188" i="7"/>
  <c r="CZ189" i="7"/>
  <c r="CD179" i="7"/>
  <c r="BA201" i="7"/>
  <c r="CH210" i="7"/>
  <c r="CK210" i="7"/>
  <c r="CF210" i="7"/>
  <c r="CG210" i="7"/>
  <c r="BD195" i="7"/>
  <c r="BG196" i="7"/>
  <c r="BG197" i="7" s="1"/>
  <c r="BE197" i="7" s="1"/>
  <c r="CJ211" i="7"/>
  <c r="BX180" i="7"/>
  <c r="BY180" i="7"/>
  <c r="CO184" i="7"/>
  <c r="CN184" i="7"/>
  <c r="CP184" i="7"/>
  <c r="CS184" i="7"/>
  <c r="CR185" i="7"/>
  <c r="AS160" i="7"/>
  <c r="AR161" i="7"/>
  <c r="AO161" i="7"/>
  <c r="AN161" i="7"/>
  <c r="AM161" i="7"/>
  <c r="AQ162" i="7"/>
  <c r="BZ180" i="7"/>
  <c r="CC180" i="7"/>
  <c r="CB181" i="7"/>
  <c r="BH195" i="7"/>
  <c r="BI195" i="7" s="1"/>
  <c r="BC195" i="7"/>
  <c r="BI194" i="7"/>
  <c r="AY204" i="7"/>
  <c r="AY205" i="7" s="1"/>
  <c r="AV203" i="7"/>
  <c r="AZ203" i="7"/>
  <c r="AW203" i="7"/>
  <c r="AU203" i="7"/>
  <c r="BQ144" i="7"/>
  <c r="BP144" i="7"/>
  <c r="BU144" i="7"/>
  <c r="BV144" i="7" s="1"/>
  <c r="BS145" i="7"/>
  <c r="Z145" i="7"/>
  <c r="AW202" i="7"/>
  <c r="AU202" i="7"/>
  <c r="AZ202" i="7"/>
  <c r="AV202" i="7"/>
  <c r="AC144" i="7"/>
  <c r="AA146" i="7"/>
  <c r="X145" i="7"/>
  <c r="AB145" i="7"/>
  <c r="Y145" i="7"/>
  <c r="W145" i="7"/>
  <c r="F146" i="7"/>
  <c r="L145" i="7"/>
  <c r="DB188" i="7" l="1"/>
  <c r="CL210" i="7"/>
  <c r="DA189" i="7"/>
  <c r="CW189" i="7"/>
  <c r="CX189" i="7"/>
  <c r="CV189" i="7"/>
  <c r="CZ190" i="7"/>
  <c r="BT147" i="7"/>
  <c r="BR146" i="7"/>
  <c r="CD180" i="7"/>
  <c r="CT184" i="7"/>
  <c r="CJ212" i="7"/>
  <c r="CF211" i="7"/>
  <c r="CH211" i="7"/>
  <c r="CG211" i="7"/>
  <c r="CK211" i="7"/>
  <c r="AS161" i="7"/>
  <c r="BE196" i="7"/>
  <c r="BH196" i="7"/>
  <c r="BC196" i="7"/>
  <c r="BD196" i="7"/>
  <c r="BD197" i="7"/>
  <c r="BH197" i="7"/>
  <c r="BI197" i="7" s="1"/>
  <c r="BG198" i="7"/>
  <c r="BH198" i="7" s="1"/>
  <c r="BC197" i="7"/>
  <c r="BA203" i="7"/>
  <c r="CR186" i="7"/>
  <c r="CO185" i="7"/>
  <c r="CP185" i="7"/>
  <c r="CS185" i="7"/>
  <c r="CN185" i="7"/>
  <c r="BA202" i="7"/>
  <c r="BY181" i="7"/>
  <c r="BX181" i="7"/>
  <c r="AR162" i="7"/>
  <c r="AO162" i="7"/>
  <c r="AN162" i="7"/>
  <c r="AM162" i="7"/>
  <c r="AQ163" i="7"/>
  <c r="CC181" i="7"/>
  <c r="BZ181" i="7"/>
  <c r="CB182" i="7"/>
  <c r="AC145" i="7"/>
  <c r="BS146" i="7"/>
  <c r="Z146" i="7"/>
  <c r="BQ145" i="7"/>
  <c r="BU145" i="7"/>
  <c r="BV145" i="7" s="1"/>
  <c r="BP145" i="7"/>
  <c r="AW205" i="7"/>
  <c r="AV205" i="7"/>
  <c r="AZ205" i="7"/>
  <c r="AU205" i="7"/>
  <c r="AB146" i="7"/>
  <c r="AA147" i="7"/>
  <c r="Y146" i="7"/>
  <c r="W146" i="7"/>
  <c r="X146" i="7"/>
  <c r="AY206" i="7"/>
  <c r="AV204" i="7"/>
  <c r="AU204" i="7"/>
  <c r="AW204" i="7"/>
  <c r="AZ204" i="7"/>
  <c r="F147" i="7"/>
  <c r="L146" i="7"/>
  <c r="DB189" i="7" l="1"/>
  <c r="CT185" i="7"/>
  <c r="CL211" i="7"/>
  <c r="BT148" i="7"/>
  <c r="BR147" i="7"/>
  <c r="CZ191" i="7"/>
  <c r="CZ192" i="7" s="1"/>
  <c r="CV190" i="7"/>
  <c r="CW190" i="7"/>
  <c r="DA190" i="7"/>
  <c r="CX190" i="7"/>
  <c r="CD181" i="7"/>
  <c r="BI196" i="7"/>
  <c r="BE198" i="7"/>
  <c r="BI198" i="7" s="1"/>
  <c r="BG199" i="7"/>
  <c r="BD199" i="7" s="1"/>
  <c r="AS162" i="7"/>
  <c r="BA205" i="7"/>
  <c r="BC198" i="7"/>
  <c r="BD198" i="7"/>
  <c r="CF212" i="7"/>
  <c r="CG212" i="7"/>
  <c r="CH212" i="7"/>
  <c r="CK212" i="7"/>
  <c r="CJ213" i="7"/>
  <c r="BA204" i="7"/>
  <c r="BY182" i="7"/>
  <c r="BX182" i="7"/>
  <c r="CO186" i="7"/>
  <c r="CS186" i="7"/>
  <c r="CN186" i="7"/>
  <c r="CP186" i="7"/>
  <c r="CR187" i="7"/>
  <c r="AR163" i="7"/>
  <c r="AO163" i="7"/>
  <c r="AN163" i="7"/>
  <c r="AM163" i="7"/>
  <c r="AQ164" i="7"/>
  <c r="CC182" i="7"/>
  <c r="BZ182" i="7"/>
  <c r="CB183" i="7"/>
  <c r="AV206" i="7"/>
  <c r="AU206" i="7"/>
  <c r="AZ206" i="7"/>
  <c r="AW206" i="7"/>
  <c r="BQ146" i="7"/>
  <c r="BU146" i="7"/>
  <c r="BV146" i="7" s="1"/>
  <c r="BP146" i="7"/>
  <c r="AC146" i="7"/>
  <c r="Y147" i="7"/>
  <c r="X147" i="7"/>
  <c r="AB147" i="7"/>
  <c r="AA148" i="7"/>
  <c r="W147" i="7"/>
  <c r="BS147" i="7"/>
  <c r="Z147" i="7"/>
  <c r="AY207" i="7"/>
  <c r="F148" i="7"/>
  <c r="L147" i="7"/>
  <c r="DB190" i="7" l="1"/>
  <c r="CW192" i="7"/>
  <c r="CX192" i="7"/>
  <c r="DA192" i="7"/>
  <c r="DB192" i="7" s="1"/>
  <c r="CV192" i="7"/>
  <c r="CW191" i="7"/>
  <c r="CV191" i="7"/>
  <c r="DA191" i="7"/>
  <c r="CX191" i="7"/>
  <c r="CZ193" i="7"/>
  <c r="CZ194" i="7" s="1"/>
  <c r="BT149" i="7"/>
  <c r="BR148" i="7"/>
  <c r="BH199" i="7"/>
  <c r="BE199" i="7"/>
  <c r="CD182" i="7"/>
  <c r="BC199" i="7"/>
  <c r="BG200" i="7"/>
  <c r="BG201" i="7" s="1"/>
  <c r="BG202" i="7" s="1"/>
  <c r="CL212" i="7"/>
  <c r="CT186" i="7"/>
  <c r="CF213" i="7"/>
  <c r="CK213" i="7"/>
  <c r="CG213" i="7"/>
  <c r="CH213" i="7"/>
  <c r="CJ214" i="7"/>
  <c r="CJ215" i="7" s="1"/>
  <c r="AS163" i="7"/>
  <c r="BY183" i="7"/>
  <c r="BX183" i="7"/>
  <c r="CR188" i="7"/>
  <c r="CR189" i="7" s="1"/>
  <c r="CS187" i="7"/>
  <c r="CN187" i="7"/>
  <c r="CO187" i="7"/>
  <c r="CP187" i="7"/>
  <c r="BA206" i="7"/>
  <c r="AC147" i="7"/>
  <c r="AR164" i="7"/>
  <c r="AO164" i="7"/>
  <c r="AN164" i="7"/>
  <c r="AM164" i="7"/>
  <c r="AQ165" i="7"/>
  <c r="CC183" i="7"/>
  <c r="BZ183" i="7"/>
  <c r="CB184" i="7"/>
  <c r="AY208" i="7"/>
  <c r="BS148" i="7"/>
  <c r="Z148" i="7"/>
  <c r="BP147" i="7"/>
  <c r="BQ147" i="7"/>
  <c r="BU147" i="7"/>
  <c r="BV147" i="7" s="1"/>
  <c r="X148" i="7"/>
  <c r="W148" i="7"/>
  <c r="AA149" i="7"/>
  <c r="Y148" i="7"/>
  <c r="AB148" i="7"/>
  <c r="AV207" i="7"/>
  <c r="AW207" i="7"/>
  <c r="AU207" i="7"/>
  <c r="AZ207" i="7"/>
  <c r="F149" i="7"/>
  <c r="L148" i="7"/>
  <c r="BI199" i="7" l="1"/>
  <c r="CT187" i="7"/>
  <c r="CX194" i="7"/>
  <c r="CW194" i="7"/>
  <c r="DA194" i="7"/>
  <c r="CV194" i="7"/>
  <c r="DB191" i="7"/>
  <c r="BT150" i="7"/>
  <c r="BR149" i="7"/>
  <c r="CV193" i="7"/>
  <c r="CW193" i="7"/>
  <c r="CX193" i="7"/>
  <c r="DA193" i="7"/>
  <c r="CZ195" i="7"/>
  <c r="CL213" i="7"/>
  <c r="BE200" i="7"/>
  <c r="BC200" i="7"/>
  <c r="BH200" i="7"/>
  <c r="BD200" i="7"/>
  <c r="CG215" i="7"/>
  <c r="CH215" i="7"/>
  <c r="CK215" i="7"/>
  <c r="CF215" i="7"/>
  <c r="CH214" i="7"/>
  <c r="CG214" i="7"/>
  <c r="CK214" i="7"/>
  <c r="CF214" i="7"/>
  <c r="CJ216" i="7"/>
  <c r="CD183" i="7"/>
  <c r="CR190" i="7"/>
  <c r="CR191" i="7" s="1"/>
  <c r="CN189" i="7"/>
  <c r="CS189" i="7"/>
  <c r="CO189" i="7"/>
  <c r="CP189" i="7"/>
  <c r="BY184" i="7"/>
  <c r="BX184" i="7"/>
  <c r="AS164" i="7"/>
  <c r="CP188" i="7"/>
  <c r="CS188" i="7"/>
  <c r="CN188" i="7"/>
  <c r="CO188" i="7"/>
  <c r="AR165" i="7"/>
  <c r="AO165" i="7"/>
  <c r="AN165" i="7"/>
  <c r="AM165" i="7"/>
  <c r="AQ166" i="7"/>
  <c r="BZ184" i="7"/>
  <c r="CC184" i="7"/>
  <c r="CB185" i="7"/>
  <c r="AW208" i="7"/>
  <c r="AV208" i="7"/>
  <c r="AZ208" i="7"/>
  <c r="AU208" i="7"/>
  <c r="AY209" i="7"/>
  <c r="BA207" i="7"/>
  <c r="AC148" i="7"/>
  <c r="X149" i="7"/>
  <c r="Y149" i="7"/>
  <c r="AA150" i="7"/>
  <c r="W149" i="7"/>
  <c r="AB149" i="7"/>
  <c r="Z149" i="7"/>
  <c r="BS149" i="7"/>
  <c r="BE202" i="7"/>
  <c r="BH202" i="7"/>
  <c r="BD202" i="7"/>
  <c r="BC202" i="7"/>
  <c r="BC201" i="7"/>
  <c r="BE201" i="7"/>
  <c r="BD201" i="7"/>
  <c r="BH201" i="7"/>
  <c r="BQ148" i="7"/>
  <c r="BU148" i="7"/>
  <c r="BV148" i="7" s="1"/>
  <c r="BP148" i="7"/>
  <c r="BG203" i="7"/>
  <c r="F150" i="7"/>
  <c r="L149" i="7"/>
  <c r="DB194" i="7" l="1"/>
  <c r="BI200" i="7"/>
  <c r="CL215" i="7"/>
  <c r="CT188" i="7"/>
  <c r="BI201" i="7"/>
  <c r="DB193" i="7"/>
  <c r="AS165" i="7"/>
  <c r="BR150" i="7"/>
  <c r="BT151" i="7"/>
  <c r="DA195" i="7"/>
  <c r="CX195" i="7"/>
  <c r="CV195" i="7"/>
  <c r="CW195" i="7"/>
  <c r="CZ196" i="7"/>
  <c r="CL214" i="7"/>
  <c r="CT189" i="7"/>
  <c r="BA208" i="7"/>
  <c r="CD184" i="7"/>
  <c r="CK216" i="7"/>
  <c r="CH216" i="7"/>
  <c r="CF216" i="7"/>
  <c r="CG216" i="7"/>
  <c r="CJ217" i="7"/>
  <c r="CR192" i="7"/>
  <c r="CN191" i="7"/>
  <c r="CP191" i="7"/>
  <c r="CO191" i="7"/>
  <c r="CS191" i="7"/>
  <c r="BY185" i="7"/>
  <c r="BX185" i="7"/>
  <c r="CS190" i="7"/>
  <c r="CN190" i="7"/>
  <c r="CP190" i="7"/>
  <c r="CO190" i="7"/>
  <c r="AR166" i="7"/>
  <c r="AO166" i="7"/>
  <c r="AN166" i="7"/>
  <c r="AM166" i="7"/>
  <c r="AQ167" i="7"/>
  <c r="CC185" i="7"/>
  <c r="BZ185" i="7"/>
  <c r="CB186" i="7"/>
  <c r="AV209" i="7"/>
  <c r="AZ209" i="7"/>
  <c r="AU209" i="7"/>
  <c r="AW209" i="7"/>
  <c r="AC149" i="7"/>
  <c r="AY210" i="7"/>
  <c r="BE203" i="7"/>
  <c r="BC203" i="7"/>
  <c r="BH203" i="7"/>
  <c r="BD203" i="7"/>
  <c r="BS150" i="7"/>
  <c r="Z150" i="7"/>
  <c r="BU149" i="7"/>
  <c r="BV149" i="7" s="1"/>
  <c r="BQ149" i="7"/>
  <c r="BP149" i="7"/>
  <c r="BG204" i="7"/>
  <c r="AA151" i="7"/>
  <c r="X150" i="7"/>
  <c r="Y150" i="7"/>
  <c r="W150" i="7"/>
  <c r="AB150" i="7"/>
  <c r="BI202" i="7"/>
  <c r="F151" i="7"/>
  <c r="L150" i="7"/>
  <c r="CL216" i="7" l="1"/>
  <c r="DB195" i="7"/>
  <c r="BI203" i="7"/>
  <c r="DA196" i="7"/>
  <c r="CV196" i="7"/>
  <c r="CW196" i="7"/>
  <c r="CX196" i="7"/>
  <c r="CZ197" i="7"/>
  <c r="BT152" i="7"/>
  <c r="BR151" i="7"/>
  <c r="AS166" i="7"/>
  <c r="CK217" i="7"/>
  <c r="CF217" i="7"/>
  <c r="CG217" i="7"/>
  <c r="CH217" i="7"/>
  <c r="CD185" i="7"/>
  <c r="CJ218" i="7"/>
  <c r="CO192" i="7"/>
  <c r="CP192" i="7"/>
  <c r="CS192" i="7"/>
  <c r="CN192" i="7"/>
  <c r="CR193" i="7"/>
  <c r="BY186" i="7"/>
  <c r="BX186" i="7"/>
  <c r="CT190" i="7"/>
  <c r="CT191" i="7"/>
  <c r="AR167" i="7"/>
  <c r="AO167" i="7"/>
  <c r="AN167" i="7"/>
  <c r="AM167" i="7"/>
  <c r="AQ168" i="7"/>
  <c r="BZ186" i="7"/>
  <c r="CC186" i="7"/>
  <c r="CB187" i="7"/>
  <c r="BA209" i="7"/>
  <c r="AW210" i="7"/>
  <c r="AV210" i="7"/>
  <c r="AU210" i="7"/>
  <c r="AZ210" i="7"/>
  <c r="AY211" i="7"/>
  <c r="X151" i="7"/>
  <c r="Y151" i="7"/>
  <c r="W151" i="7"/>
  <c r="AA152" i="7"/>
  <c r="AB151" i="7"/>
  <c r="BE204" i="7"/>
  <c r="BC204" i="7"/>
  <c r="BH204" i="7"/>
  <c r="BD204" i="7"/>
  <c r="BS151" i="7"/>
  <c r="Z151" i="7"/>
  <c r="BU150" i="7"/>
  <c r="BV150" i="7" s="1"/>
  <c r="BQ150" i="7"/>
  <c r="BP150" i="7"/>
  <c r="BG205" i="7"/>
  <c r="AC150" i="7"/>
  <c r="F152" i="7"/>
  <c r="L151" i="7"/>
  <c r="DB196" i="7" l="1"/>
  <c r="CD186" i="7"/>
  <c r="BT153" i="7"/>
  <c r="BR152" i="7"/>
  <c r="CZ198" i="7"/>
  <c r="CW197" i="7"/>
  <c r="CX197" i="7"/>
  <c r="DA197" i="7"/>
  <c r="CV197" i="7"/>
  <c r="CL217" i="7"/>
  <c r="CT192" i="7"/>
  <c r="CH218" i="7"/>
  <c r="CK218" i="7"/>
  <c r="CG218" i="7"/>
  <c r="CF218" i="7"/>
  <c r="CJ219" i="7"/>
  <c r="CJ220" i="7" s="1"/>
  <c r="BI204" i="7"/>
  <c r="CR194" i="7"/>
  <c r="CN193" i="7"/>
  <c r="CP193" i="7"/>
  <c r="CS193" i="7"/>
  <c r="CO193" i="7"/>
  <c r="BX187" i="7"/>
  <c r="BY187" i="7"/>
  <c r="BA210" i="7"/>
  <c r="AC151" i="7"/>
  <c r="AS167" i="7"/>
  <c r="AR168" i="7"/>
  <c r="AO168" i="7"/>
  <c r="AN168" i="7"/>
  <c r="AM168" i="7"/>
  <c r="AQ169" i="7"/>
  <c r="CC187" i="7"/>
  <c r="BZ187" i="7"/>
  <c r="CD187" i="7" s="1"/>
  <c r="CB188" i="7"/>
  <c r="AV211" i="7"/>
  <c r="AU211" i="7"/>
  <c r="AW211" i="7"/>
  <c r="AZ211" i="7"/>
  <c r="AY212" i="7"/>
  <c r="AY213" i="7" s="1"/>
  <c r="AA153" i="7"/>
  <c r="Y152" i="7"/>
  <c r="W152" i="7"/>
  <c r="X152" i="7"/>
  <c r="AB152" i="7"/>
  <c r="BS152" i="7"/>
  <c r="Z152" i="7"/>
  <c r="BG206" i="7"/>
  <c r="BE205" i="7"/>
  <c r="BC205" i="7"/>
  <c r="BD205" i="7"/>
  <c r="BH205" i="7"/>
  <c r="BU151" i="7"/>
  <c r="BV151" i="7" s="1"/>
  <c r="BQ151" i="7"/>
  <c r="BP151" i="7"/>
  <c r="F153" i="7"/>
  <c r="L152" i="7"/>
  <c r="DB197" i="7" l="1"/>
  <c r="AS168" i="7"/>
  <c r="CL218" i="7"/>
  <c r="DA198" i="7"/>
  <c r="CX198" i="7"/>
  <c r="CW198" i="7"/>
  <c r="CV198" i="7"/>
  <c r="CZ199" i="7"/>
  <c r="BR153" i="7"/>
  <c r="BT154" i="7"/>
  <c r="CT193" i="7"/>
  <c r="CF220" i="7"/>
  <c r="CH220" i="7"/>
  <c r="CG220" i="7"/>
  <c r="CK220" i="7"/>
  <c r="CF219" i="7"/>
  <c r="CG219" i="7"/>
  <c r="CH219" i="7"/>
  <c r="CK219" i="7"/>
  <c r="CJ221" i="7"/>
  <c r="CJ222" i="7" s="1"/>
  <c r="CP194" i="7"/>
  <c r="CS194" i="7"/>
  <c r="CN194" i="7"/>
  <c r="CO194" i="7"/>
  <c r="BX188" i="7"/>
  <c r="BY188" i="7"/>
  <c r="CR195" i="7"/>
  <c r="BA211" i="7"/>
  <c r="AR169" i="7"/>
  <c r="AO169" i="7"/>
  <c r="AN169" i="7"/>
  <c r="AM169" i="7"/>
  <c r="AQ170" i="7"/>
  <c r="BZ188" i="7"/>
  <c r="CC188" i="7"/>
  <c r="CB189" i="7"/>
  <c r="AY214" i="7"/>
  <c r="AZ213" i="7"/>
  <c r="AU213" i="7"/>
  <c r="AW213" i="7"/>
  <c r="AV213" i="7"/>
  <c r="AZ212" i="7"/>
  <c r="AV212" i="7"/>
  <c r="AU212" i="7"/>
  <c r="AW212" i="7"/>
  <c r="AC152" i="7"/>
  <c r="BU152" i="7"/>
  <c r="BV152" i="7" s="1"/>
  <c r="BP152" i="7"/>
  <c r="BQ152" i="7"/>
  <c r="W153" i="7"/>
  <c r="AB153" i="7"/>
  <c r="AA154" i="7"/>
  <c r="Y153" i="7"/>
  <c r="X153" i="7"/>
  <c r="BG207" i="7"/>
  <c r="BG208" i="7" s="1"/>
  <c r="BS153" i="7"/>
  <c r="Z153" i="7"/>
  <c r="BI205" i="7"/>
  <c r="BH206" i="7"/>
  <c r="BD206" i="7"/>
  <c r="BE206" i="7"/>
  <c r="BC206" i="7"/>
  <c r="F154" i="7"/>
  <c r="L153" i="7"/>
  <c r="CL219" i="7" l="1"/>
  <c r="CD188" i="7"/>
  <c r="BI206" i="7"/>
  <c r="CT194" i="7"/>
  <c r="CL220" i="7"/>
  <c r="BT155" i="7"/>
  <c r="BR154" i="7"/>
  <c r="CZ200" i="7"/>
  <c r="CV199" i="7"/>
  <c r="DA199" i="7"/>
  <c r="CW199" i="7"/>
  <c r="CX199" i="7"/>
  <c r="DB198" i="7"/>
  <c r="CK222" i="7"/>
  <c r="CF222" i="7"/>
  <c r="CG222" i="7"/>
  <c r="CH222" i="7"/>
  <c r="BA213" i="7"/>
  <c r="CH221" i="7"/>
  <c r="CF221" i="7"/>
  <c r="CK221" i="7"/>
  <c r="CG221" i="7"/>
  <c r="CJ223" i="7"/>
  <c r="CJ224" i="7" s="1"/>
  <c r="AS169" i="7"/>
  <c r="AY215" i="7"/>
  <c r="AU215" i="7" s="1"/>
  <c r="CR196" i="7"/>
  <c r="CS195" i="7"/>
  <c r="CP195" i="7"/>
  <c r="CN195" i="7"/>
  <c r="CO195" i="7"/>
  <c r="BX189" i="7"/>
  <c r="BY189" i="7"/>
  <c r="AR170" i="7"/>
  <c r="AO170" i="7"/>
  <c r="AN170" i="7"/>
  <c r="AM170" i="7"/>
  <c r="AQ171" i="7"/>
  <c r="BZ189" i="7"/>
  <c r="CC189" i="7"/>
  <c r="CB190" i="7"/>
  <c r="BA212" i="7"/>
  <c r="AZ214" i="7"/>
  <c r="AW214" i="7"/>
  <c r="AV214" i="7"/>
  <c r="AU214" i="7"/>
  <c r="AB154" i="7"/>
  <c r="AA155" i="7"/>
  <c r="Y154" i="7"/>
  <c r="X154" i="7"/>
  <c r="W154" i="7"/>
  <c r="AC153" i="7"/>
  <c r="BS154" i="7"/>
  <c r="Z154" i="7"/>
  <c r="BQ153" i="7"/>
  <c r="BP153" i="7"/>
  <c r="BU153" i="7"/>
  <c r="BV153" i="7" s="1"/>
  <c r="BE207" i="7"/>
  <c r="BC207" i="7"/>
  <c r="BH207" i="7"/>
  <c r="BD207" i="7"/>
  <c r="BG209" i="7"/>
  <c r="BD208" i="7"/>
  <c r="BH208" i="7"/>
  <c r="BC208" i="7"/>
  <c r="BE208" i="7"/>
  <c r="F155" i="7"/>
  <c r="L154" i="7"/>
  <c r="DB199" i="7" l="1"/>
  <c r="CL221" i="7"/>
  <c r="CL222" i="7"/>
  <c r="CZ201" i="7"/>
  <c r="DA200" i="7"/>
  <c r="CV200" i="7"/>
  <c r="CW200" i="7"/>
  <c r="CX200" i="7"/>
  <c r="BT156" i="7"/>
  <c r="BR155" i="7"/>
  <c r="BA214" i="7"/>
  <c r="CD189" i="7"/>
  <c r="CH224" i="7"/>
  <c r="CG224" i="7"/>
  <c r="CK224" i="7"/>
  <c r="CF224" i="7"/>
  <c r="AY216" i="7"/>
  <c r="AW216" i="7" s="1"/>
  <c r="AV215" i="7"/>
  <c r="AW215" i="7"/>
  <c r="CT195" i="7"/>
  <c r="CF223" i="7"/>
  <c r="CG223" i="7"/>
  <c r="CH223" i="7"/>
  <c r="CK223" i="7"/>
  <c r="AZ215" i="7"/>
  <c r="CJ225" i="7"/>
  <c r="CJ226" i="7" s="1"/>
  <c r="AS170" i="7"/>
  <c r="BX190" i="7"/>
  <c r="BY190" i="7"/>
  <c r="CN196" i="7"/>
  <c r="CO196" i="7"/>
  <c r="CP196" i="7"/>
  <c r="CS196" i="7"/>
  <c r="CR197" i="7"/>
  <c r="AR171" i="7"/>
  <c r="AO171" i="7"/>
  <c r="AN171" i="7"/>
  <c r="AM171" i="7"/>
  <c r="AQ172" i="7"/>
  <c r="BZ190" i="7"/>
  <c r="CC190" i="7"/>
  <c r="CB191" i="7"/>
  <c r="AC154" i="7"/>
  <c r="BS155" i="7"/>
  <c r="Z155" i="7"/>
  <c r="BG210" i="7"/>
  <c r="BI207" i="7"/>
  <c r="BU154" i="7"/>
  <c r="BV154" i="7" s="1"/>
  <c r="BQ154" i="7"/>
  <c r="BP154" i="7"/>
  <c r="BI208" i="7"/>
  <c r="BE209" i="7"/>
  <c r="BC209" i="7"/>
  <c r="BD209" i="7"/>
  <c r="BH209" i="7"/>
  <c r="X155" i="7"/>
  <c r="AB155" i="7"/>
  <c r="Y155" i="7"/>
  <c r="AA156" i="7"/>
  <c r="W155" i="7"/>
  <c r="F156" i="7"/>
  <c r="L155" i="7"/>
  <c r="DB200" i="7" l="1"/>
  <c r="CL223" i="7"/>
  <c r="BT157" i="7"/>
  <c r="BR156" i="7"/>
  <c r="CL224" i="7"/>
  <c r="BI209" i="7"/>
  <c r="DA201" i="7"/>
  <c r="CX201" i="7"/>
  <c r="CV201" i="7"/>
  <c r="CW201" i="7"/>
  <c r="CZ202" i="7"/>
  <c r="CD190" i="7"/>
  <c r="AU216" i="7"/>
  <c r="CG226" i="7"/>
  <c r="CK226" i="7"/>
  <c r="CH226" i="7"/>
  <c r="CF226" i="7"/>
  <c r="AV216" i="7"/>
  <c r="AZ216" i="7"/>
  <c r="BA216" i="7" s="1"/>
  <c r="AY217" i="7"/>
  <c r="CJ227" i="7"/>
  <c r="CJ228" i="7" s="1"/>
  <c r="CF225" i="7"/>
  <c r="CH225" i="7"/>
  <c r="CG225" i="7"/>
  <c r="CK225" i="7"/>
  <c r="BA215" i="7"/>
  <c r="CT196" i="7"/>
  <c r="BX191" i="7"/>
  <c r="BY191" i="7"/>
  <c r="CR198" i="7"/>
  <c r="CO197" i="7"/>
  <c r="CP197" i="7"/>
  <c r="CS197" i="7"/>
  <c r="CN197" i="7"/>
  <c r="AS171" i="7"/>
  <c r="AR172" i="7"/>
  <c r="AO172" i="7"/>
  <c r="AN172" i="7"/>
  <c r="AM172" i="7"/>
  <c r="AQ173" i="7"/>
  <c r="BZ191" i="7"/>
  <c r="CC191" i="7"/>
  <c r="CD191" i="7" s="1"/>
  <c r="CB192" i="7"/>
  <c r="BU155" i="7"/>
  <c r="BV155" i="7" s="1"/>
  <c r="BP155" i="7"/>
  <c r="BQ155" i="7"/>
  <c r="BH210" i="7"/>
  <c r="BC210" i="7"/>
  <c r="BE210" i="7"/>
  <c r="BD210" i="7"/>
  <c r="Y156" i="7"/>
  <c r="W156" i="7"/>
  <c r="AA157" i="7"/>
  <c r="X156" i="7"/>
  <c r="AB156" i="7"/>
  <c r="BG211" i="7"/>
  <c r="BS156" i="7"/>
  <c r="Z156" i="7"/>
  <c r="AC155" i="7"/>
  <c r="F157" i="7"/>
  <c r="L156" i="7"/>
  <c r="DB201" i="7" l="1"/>
  <c r="CZ203" i="7"/>
  <c r="CV202" i="7"/>
  <c r="CX202" i="7"/>
  <c r="CW202" i="7"/>
  <c r="DA202" i="7"/>
  <c r="DB202" i="7" s="1"/>
  <c r="CL225" i="7"/>
  <c r="BT158" i="7"/>
  <c r="BR157" i="7"/>
  <c r="CL226" i="7"/>
  <c r="CF228" i="7"/>
  <c r="CG228" i="7"/>
  <c r="CH228" i="7"/>
  <c r="CK228" i="7"/>
  <c r="CF227" i="7"/>
  <c r="CG227" i="7"/>
  <c r="CH227" i="7"/>
  <c r="CK227" i="7"/>
  <c r="AY218" i="7"/>
  <c r="AV217" i="7"/>
  <c r="AW217" i="7"/>
  <c r="AU217" i="7"/>
  <c r="AZ217" i="7"/>
  <c r="BI210" i="7"/>
  <c r="CT197" i="7"/>
  <c r="CJ229" i="7"/>
  <c r="CO198" i="7"/>
  <c r="CS198" i="7"/>
  <c r="CN198" i="7"/>
  <c r="CP198" i="7"/>
  <c r="AS172" i="7"/>
  <c r="CR199" i="7"/>
  <c r="BX192" i="7"/>
  <c r="BY192" i="7"/>
  <c r="AR173" i="7"/>
  <c r="AO173" i="7"/>
  <c r="AN173" i="7"/>
  <c r="AM173" i="7"/>
  <c r="AQ174" i="7"/>
  <c r="BZ192" i="7"/>
  <c r="CC192" i="7"/>
  <c r="CB193" i="7"/>
  <c r="AC156" i="7"/>
  <c r="X157" i="7"/>
  <c r="W157" i="7"/>
  <c r="AB157" i="7"/>
  <c r="AA158" i="7"/>
  <c r="Y157" i="7"/>
  <c r="BD211" i="7"/>
  <c r="BE211" i="7"/>
  <c r="BC211" i="7"/>
  <c r="BH211" i="7"/>
  <c r="BG212" i="7"/>
  <c r="BG213" i="7" s="1"/>
  <c r="BS157" i="7"/>
  <c r="Z157" i="7"/>
  <c r="BU156" i="7"/>
  <c r="BV156" i="7" s="1"/>
  <c r="BQ156" i="7"/>
  <c r="BP156" i="7"/>
  <c r="F158" i="7"/>
  <c r="L157" i="7"/>
  <c r="CL227" i="7" l="1"/>
  <c r="CD192" i="7"/>
  <c r="CL228" i="7"/>
  <c r="BT159" i="7"/>
  <c r="BR158" i="7"/>
  <c r="DA203" i="7"/>
  <c r="CV203" i="7"/>
  <c r="CX203" i="7"/>
  <c r="CW203" i="7"/>
  <c r="CZ204" i="7"/>
  <c r="AS173" i="7"/>
  <c r="CT198" i="7"/>
  <c r="BA217" i="7"/>
  <c r="AW218" i="7"/>
  <c r="AV218" i="7"/>
  <c r="AZ218" i="7"/>
  <c r="AU218" i="7"/>
  <c r="CG229" i="7"/>
  <c r="CH229" i="7"/>
  <c r="CK229" i="7"/>
  <c r="CF229" i="7"/>
  <c r="CJ230" i="7"/>
  <c r="CJ231" i="7" s="1"/>
  <c r="AY219" i="7"/>
  <c r="AY220" i="7" s="1"/>
  <c r="CR200" i="7"/>
  <c r="CO199" i="7"/>
  <c r="CS199" i="7"/>
  <c r="CP199" i="7"/>
  <c r="CN199" i="7"/>
  <c r="BY193" i="7"/>
  <c r="BX193" i="7"/>
  <c r="AR174" i="7"/>
  <c r="AO174" i="7"/>
  <c r="AN174" i="7"/>
  <c r="AM174" i="7"/>
  <c r="AQ175" i="7"/>
  <c r="CC193" i="7"/>
  <c r="BZ193" i="7"/>
  <c r="CB194" i="7"/>
  <c r="BI211" i="7"/>
  <c r="BC213" i="7"/>
  <c r="BE213" i="7"/>
  <c r="BD213" i="7"/>
  <c r="BH213" i="7"/>
  <c r="AC157" i="7"/>
  <c r="BG214" i="7"/>
  <c r="BU157" i="7"/>
  <c r="BV157" i="7" s="1"/>
  <c r="BQ157" i="7"/>
  <c r="BP157" i="7"/>
  <c r="BS158" i="7"/>
  <c r="Z158" i="7"/>
  <c r="BC212" i="7"/>
  <c r="BD212" i="7"/>
  <c r="BE212" i="7"/>
  <c r="BH212" i="7"/>
  <c r="AB158" i="7"/>
  <c r="AA159" i="7"/>
  <c r="W158" i="7"/>
  <c r="X158" i="7"/>
  <c r="Y158" i="7"/>
  <c r="F159" i="7"/>
  <c r="L158" i="7"/>
  <c r="DB203" i="7" l="1"/>
  <c r="BA218" i="7"/>
  <c r="CV204" i="7"/>
  <c r="CW204" i="7"/>
  <c r="DA204" i="7"/>
  <c r="CX204" i="7"/>
  <c r="CZ205" i="7"/>
  <c r="BI213" i="7"/>
  <c r="BR159" i="7"/>
  <c r="BT160" i="7"/>
  <c r="CL229" i="7"/>
  <c r="AS174" i="7"/>
  <c r="CJ232" i="7"/>
  <c r="CH231" i="7"/>
  <c r="CF231" i="7"/>
  <c r="CK231" i="7"/>
  <c r="CG231" i="7"/>
  <c r="AZ220" i="7"/>
  <c r="AV220" i="7"/>
  <c r="AU220" i="7"/>
  <c r="AW220" i="7"/>
  <c r="AY221" i="7"/>
  <c r="AW219" i="7"/>
  <c r="AZ219" i="7"/>
  <c r="AU219" i="7"/>
  <c r="AV219" i="7"/>
  <c r="CF230" i="7"/>
  <c r="CG230" i="7"/>
  <c r="CH230" i="7"/>
  <c r="CK230" i="7"/>
  <c r="CS200" i="7"/>
  <c r="CN200" i="7"/>
  <c r="CO200" i="7"/>
  <c r="CP200" i="7"/>
  <c r="CR201" i="7"/>
  <c r="BY194" i="7"/>
  <c r="BX194" i="7"/>
  <c r="CT199" i="7"/>
  <c r="AR175" i="7"/>
  <c r="AO175" i="7"/>
  <c r="AN175" i="7"/>
  <c r="AM175" i="7"/>
  <c r="AQ176" i="7"/>
  <c r="BZ194" i="7"/>
  <c r="CC194" i="7"/>
  <c r="CD193" i="7"/>
  <c r="CB195" i="7"/>
  <c r="BC214" i="7"/>
  <c r="BD214" i="7"/>
  <c r="BH214" i="7"/>
  <c r="BE214" i="7"/>
  <c r="AC158" i="7"/>
  <c r="AA160" i="7"/>
  <c r="X159" i="7"/>
  <c r="W159" i="7"/>
  <c r="Y159" i="7"/>
  <c r="AB159" i="7"/>
  <c r="BQ158" i="7"/>
  <c r="BU158" i="7"/>
  <c r="BV158" i="7" s="1"/>
  <c r="BP158" i="7"/>
  <c r="BG215" i="7"/>
  <c r="BG216" i="7" s="1"/>
  <c r="BS159" i="7"/>
  <c r="Z159" i="7"/>
  <c r="BI212" i="7"/>
  <c r="F160" i="7"/>
  <c r="L159" i="7"/>
  <c r="CL230" i="7" l="1"/>
  <c r="DB204" i="7"/>
  <c r="CT200" i="7"/>
  <c r="CD194" i="7"/>
  <c r="CW205" i="7"/>
  <c r="DA205" i="7"/>
  <c r="CX205" i="7"/>
  <c r="CV205" i="7"/>
  <c r="CZ206" i="7"/>
  <c r="BT161" i="7"/>
  <c r="BR160" i="7"/>
  <c r="CL231" i="7"/>
  <c r="AZ221" i="7"/>
  <c r="AV221" i="7"/>
  <c r="AU221" i="7"/>
  <c r="AW221" i="7"/>
  <c r="AS175" i="7"/>
  <c r="BA220" i="7"/>
  <c r="BI214" i="7"/>
  <c r="BA219" i="7"/>
  <c r="AY222" i="7"/>
  <c r="CJ233" i="7"/>
  <c r="CF232" i="7"/>
  <c r="CG232" i="7"/>
  <c r="CH232" i="7"/>
  <c r="CK232" i="7"/>
  <c r="CR202" i="7"/>
  <c r="CR203" i="7" s="1"/>
  <c r="CO201" i="7"/>
  <c r="CS201" i="7"/>
  <c r="CP201" i="7"/>
  <c r="CN201" i="7"/>
  <c r="BY195" i="7"/>
  <c r="BX195" i="7"/>
  <c r="AR176" i="7"/>
  <c r="AO176" i="7"/>
  <c r="AN176" i="7"/>
  <c r="AM176" i="7"/>
  <c r="AQ177" i="7"/>
  <c r="BZ195" i="7"/>
  <c r="CC195" i="7"/>
  <c r="CB196" i="7"/>
  <c r="AC159" i="7"/>
  <c r="BD216" i="7"/>
  <c r="BC216" i="7"/>
  <c r="BE216" i="7"/>
  <c r="BH216" i="7"/>
  <c r="BG217" i="7"/>
  <c r="BG218" i="7" s="1"/>
  <c r="BS160" i="7"/>
  <c r="Z160" i="7"/>
  <c r="BU159" i="7"/>
  <c r="BV159" i="7" s="1"/>
  <c r="BP159" i="7"/>
  <c r="BQ159" i="7"/>
  <c r="AB160" i="7"/>
  <c r="Y160" i="7"/>
  <c r="W160" i="7"/>
  <c r="AA161" i="7"/>
  <c r="X160" i="7"/>
  <c r="BC215" i="7"/>
  <c r="BH215" i="7"/>
  <c r="BE215" i="7"/>
  <c r="BD215" i="7"/>
  <c r="F161" i="7"/>
  <c r="L160" i="7"/>
  <c r="DB205" i="7" l="1"/>
  <c r="BA221" i="7"/>
  <c r="BT162" i="7"/>
  <c r="BR161" i="7"/>
  <c r="DA206" i="7"/>
  <c r="CX206" i="7"/>
  <c r="CV206" i="7"/>
  <c r="CW206" i="7"/>
  <c r="CZ207" i="7"/>
  <c r="CL232" i="7"/>
  <c r="AS176" i="7"/>
  <c r="BI215" i="7"/>
  <c r="AV222" i="7"/>
  <c r="AW222" i="7"/>
  <c r="AZ222" i="7"/>
  <c r="AU222" i="7"/>
  <c r="AY223" i="7"/>
  <c r="AY224" i="7" s="1"/>
  <c r="CG233" i="7"/>
  <c r="CH233" i="7"/>
  <c r="CF233" i="7"/>
  <c r="CK233" i="7"/>
  <c r="CJ234" i="7"/>
  <c r="CR204" i="7"/>
  <c r="CR205" i="7" s="1"/>
  <c r="CN203" i="7"/>
  <c r="CO203" i="7"/>
  <c r="CP203" i="7"/>
  <c r="CS203" i="7"/>
  <c r="CT201" i="7"/>
  <c r="CN202" i="7"/>
  <c r="CP202" i="7"/>
  <c r="CO202" i="7"/>
  <c r="CS202" i="7"/>
  <c r="BY196" i="7"/>
  <c r="BX196" i="7"/>
  <c r="CD195" i="7"/>
  <c r="AR177" i="7"/>
  <c r="AO177" i="7"/>
  <c r="AN177" i="7"/>
  <c r="AM177" i="7"/>
  <c r="AQ178" i="7"/>
  <c r="CC196" i="7"/>
  <c r="BZ196" i="7"/>
  <c r="CB197" i="7"/>
  <c r="AC160" i="7"/>
  <c r="BI216" i="7"/>
  <c r="BH218" i="7"/>
  <c r="BC218" i="7"/>
  <c r="BE218" i="7"/>
  <c r="BD218" i="7"/>
  <c r="BE217" i="7"/>
  <c r="BD217" i="7"/>
  <c r="BH217" i="7"/>
  <c r="BC217" i="7"/>
  <c r="Z161" i="7"/>
  <c r="BS161" i="7"/>
  <c r="BG219" i="7"/>
  <c r="BG220" i="7" s="1"/>
  <c r="W161" i="7"/>
  <c r="AB161" i="7"/>
  <c r="AA162" i="7"/>
  <c r="Y161" i="7"/>
  <c r="X161" i="7"/>
  <c r="BU160" i="7"/>
  <c r="BV160" i="7" s="1"/>
  <c r="BQ160" i="7"/>
  <c r="BP160" i="7"/>
  <c r="F162" i="7"/>
  <c r="L161" i="7"/>
  <c r="DB206" i="7" l="1"/>
  <c r="CT202" i="7"/>
  <c r="BA222" i="7"/>
  <c r="CZ208" i="7"/>
  <c r="CW207" i="7"/>
  <c r="DA207" i="7"/>
  <c r="CV207" i="7"/>
  <c r="CX207" i="7"/>
  <c r="BT163" i="7"/>
  <c r="BR162" i="7"/>
  <c r="CL233" i="7"/>
  <c r="CT203" i="7"/>
  <c r="CD196" i="7"/>
  <c r="AV224" i="7"/>
  <c r="AZ224" i="7"/>
  <c r="AU224" i="7"/>
  <c r="AW224" i="7"/>
  <c r="AY225" i="7"/>
  <c r="AZ225" i="7" s="1"/>
  <c r="AZ223" i="7"/>
  <c r="AW223" i="7"/>
  <c r="AU223" i="7"/>
  <c r="AV223" i="7"/>
  <c r="CK234" i="7"/>
  <c r="CF234" i="7"/>
  <c r="CG234" i="7"/>
  <c r="CH234" i="7"/>
  <c r="CJ235" i="7"/>
  <c r="AS177" i="7"/>
  <c r="BY197" i="7"/>
  <c r="BX197" i="7"/>
  <c r="CO204" i="7"/>
  <c r="CS204" i="7"/>
  <c r="CN204" i="7"/>
  <c r="CP204" i="7"/>
  <c r="CR206" i="7"/>
  <c r="CP205" i="7"/>
  <c r="CS205" i="7"/>
  <c r="CN205" i="7"/>
  <c r="CO205" i="7"/>
  <c r="AR178" i="7"/>
  <c r="AO178" i="7"/>
  <c r="AN178" i="7"/>
  <c r="AM178" i="7"/>
  <c r="AQ179" i="7"/>
  <c r="BZ197" i="7"/>
  <c r="CC197" i="7"/>
  <c r="CB198" i="7"/>
  <c r="BG221" i="7"/>
  <c r="BI217" i="7"/>
  <c r="BD220" i="7"/>
  <c r="BH220" i="7"/>
  <c r="BC220" i="7"/>
  <c r="BE220" i="7"/>
  <c r="BI218" i="7"/>
  <c r="BP161" i="7"/>
  <c r="BQ161" i="7"/>
  <c r="BU161" i="7"/>
  <c r="BV161" i="7" s="1"/>
  <c r="Y162" i="7"/>
  <c r="AB162" i="7"/>
  <c r="W162" i="7"/>
  <c r="AA163" i="7"/>
  <c r="X162" i="7"/>
  <c r="AC161" i="7"/>
  <c r="BE219" i="7"/>
  <c r="BD219" i="7"/>
  <c r="BC219" i="7"/>
  <c r="BH219" i="7"/>
  <c r="BS162" i="7"/>
  <c r="Z162" i="7"/>
  <c r="F163" i="7"/>
  <c r="L162" i="7"/>
  <c r="DB207" i="7" l="1"/>
  <c r="CD197" i="7"/>
  <c r="BA224" i="7"/>
  <c r="BT164" i="7"/>
  <c r="BR163" i="7"/>
  <c r="DA208" i="7"/>
  <c r="CV208" i="7"/>
  <c r="CW208" i="7"/>
  <c r="CX208" i="7"/>
  <c r="CZ209" i="7"/>
  <c r="BA223" i="7"/>
  <c r="AY226" i="7"/>
  <c r="AY227" i="7" s="1"/>
  <c r="AU227" i="7" s="1"/>
  <c r="CL234" i="7"/>
  <c r="CT204" i="7"/>
  <c r="AS178" i="7"/>
  <c r="AU225" i="7"/>
  <c r="AW225" i="7"/>
  <c r="BA225" i="7" s="1"/>
  <c r="AV225" i="7"/>
  <c r="CF235" i="7"/>
  <c r="CK235" i="7"/>
  <c r="CH235" i="7"/>
  <c r="CG235" i="7"/>
  <c r="CT205" i="7"/>
  <c r="CJ236" i="7"/>
  <c r="BI219" i="7"/>
  <c r="BY198" i="7"/>
  <c r="BX198" i="7"/>
  <c r="BI220" i="7"/>
  <c r="CN206" i="7"/>
  <c r="CP206" i="7"/>
  <c r="CS206" i="7"/>
  <c r="CO206" i="7"/>
  <c r="CR207" i="7"/>
  <c r="AR179" i="7"/>
  <c r="AO179" i="7"/>
  <c r="AN179" i="7"/>
  <c r="AM179" i="7"/>
  <c r="AQ180" i="7"/>
  <c r="BZ198" i="7"/>
  <c r="CC198" i="7"/>
  <c r="CB199" i="7"/>
  <c r="AC162" i="7"/>
  <c r="Y163" i="7"/>
  <c r="X163" i="7"/>
  <c r="W163" i="7"/>
  <c r="AB163" i="7"/>
  <c r="AA164" i="7"/>
  <c r="BP162" i="7"/>
  <c r="BU162" i="7"/>
  <c r="BV162" i="7" s="1"/>
  <c r="BQ162" i="7"/>
  <c r="BS163" i="7"/>
  <c r="Z163" i="7"/>
  <c r="BG222" i="7"/>
  <c r="BG223" i="7" s="1"/>
  <c r="BD221" i="7"/>
  <c r="BE221" i="7"/>
  <c r="BC221" i="7"/>
  <c r="BH221" i="7"/>
  <c r="F164" i="7"/>
  <c r="L163" i="7"/>
  <c r="DB208" i="7" l="1"/>
  <c r="CZ210" i="7"/>
  <c r="CZ211" i="7" s="1"/>
  <c r="CW209" i="7"/>
  <c r="DA209" i="7"/>
  <c r="CX209" i="7"/>
  <c r="CV209" i="7"/>
  <c r="BI221" i="7"/>
  <c r="BT165" i="7"/>
  <c r="BR164" i="7"/>
  <c r="AY228" i="7"/>
  <c r="AW228" i="7" s="1"/>
  <c r="AZ226" i="7"/>
  <c r="AW226" i="7"/>
  <c r="AV226" i="7"/>
  <c r="AU226" i="7"/>
  <c r="AS179" i="7"/>
  <c r="AV227" i="7"/>
  <c r="AZ227" i="7"/>
  <c r="AW227" i="7"/>
  <c r="CT206" i="7"/>
  <c r="CL235" i="7"/>
  <c r="CD198" i="7"/>
  <c r="CK236" i="7"/>
  <c r="CF236" i="7"/>
  <c r="CG236" i="7"/>
  <c r="CH236" i="7"/>
  <c r="CJ237" i="7"/>
  <c r="BX199" i="7"/>
  <c r="BY199" i="7"/>
  <c r="CR208" i="7"/>
  <c r="CR209" i="7" s="1"/>
  <c r="CP207" i="7"/>
  <c r="CN207" i="7"/>
  <c r="CO207" i="7"/>
  <c r="CS207" i="7"/>
  <c r="AR180" i="7"/>
  <c r="AO180" i="7"/>
  <c r="AN180" i="7"/>
  <c r="AM180" i="7"/>
  <c r="AQ181" i="7"/>
  <c r="BZ199" i="7"/>
  <c r="CC199" i="7"/>
  <c r="CB200" i="7"/>
  <c r="BC223" i="7"/>
  <c r="BE223" i="7"/>
  <c r="BH223" i="7"/>
  <c r="BD223" i="7"/>
  <c r="AA165" i="7"/>
  <c r="Y164" i="7"/>
  <c r="X164" i="7"/>
  <c r="W164" i="7"/>
  <c r="AB164" i="7"/>
  <c r="AC163" i="7"/>
  <c r="BQ163" i="7"/>
  <c r="BP163" i="7"/>
  <c r="BU163" i="7"/>
  <c r="BV163" i="7" s="1"/>
  <c r="BS164" i="7"/>
  <c r="Z164" i="7"/>
  <c r="BH222" i="7"/>
  <c r="BE222" i="7"/>
  <c r="BD222" i="7"/>
  <c r="BC222" i="7"/>
  <c r="BG224" i="7"/>
  <c r="BG225" i="7" s="1"/>
  <c r="F165" i="7"/>
  <c r="L164" i="7"/>
  <c r="BA227" i="7" l="1"/>
  <c r="BA226" i="7"/>
  <c r="BT166" i="7"/>
  <c r="BR165" i="7"/>
  <c r="CV211" i="7"/>
  <c r="CX211" i="7"/>
  <c r="CW211" i="7"/>
  <c r="DA211" i="7"/>
  <c r="CZ212" i="7"/>
  <c r="DB209" i="7"/>
  <c r="AY229" i="7"/>
  <c r="AY230" i="7" s="1"/>
  <c r="AY231" i="7" s="1"/>
  <c r="CX210" i="7"/>
  <c r="CV210" i="7"/>
  <c r="CW210" i="7"/>
  <c r="DA210" i="7"/>
  <c r="AV228" i="7"/>
  <c r="AU228" i="7"/>
  <c r="AZ228" i="7"/>
  <c r="BA228" i="7" s="1"/>
  <c r="CL236" i="7"/>
  <c r="CD199" i="7"/>
  <c r="CT207" i="7"/>
  <c r="BI223" i="7"/>
  <c r="CF237" i="7"/>
  <c r="CG237" i="7"/>
  <c r="CH237" i="7"/>
  <c r="CK237" i="7"/>
  <c r="CJ238" i="7"/>
  <c r="CJ239" i="7" s="1"/>
  <c r="BI222" i="7"/>
  <c r="CR210" i="7"/>
  <c r="CR211" i="7" s="1"/>
  <c r="CP209" i="7"/>
  <c r="CO209" i="7"/>
  <c r="CS209" i="7"/>
  <c r="CN209" i="7"/>
  <c r="AS180" i="7"/>
  <c r="CP208" i="7"/>
  <c r="CS208" i="7"/>
  <c r="CN208" i="7"/>
  <c r="CO208" i="7"/>
  <c r="BX200" i="7"/>
  <c r="BY200" i="7"/>
  <c r="AR181" i="7"/>
  <c r="AO181" i="7"/>
  <c r="AN181" i="7"/>
  <c r="AM181" i="7"/>
  <c r="AQ182" i="7"/>
  <c r="CC200" i="7"/>
  <c r="BZ200" i="7"/>
  <c r="CB201" i="7"/>
  <c r="BG226" i="7"/>
  <c r="BG227" i="7" s="1"/>
  <c r="BD225" i="7"/>
  <c r="BH225" i="7"/>
  <c r="BE225" i="7"/>
  <c r="BC225" i="7"/>
  <c r="BE224" i="7"/>
  <c r="BC224" i="7"/>
  <c r="BH224" i="7"/>
  <c r="BD224" i="7"/>
  <c r="AA166" i="7"/>
  <c r="Y165" i="7"/>
  <c r="W165" i="7"/>
  <c r="AB165" i="7"/>
  <c r="X165" i="7"/>
  <c r="BS165" i="7"/>
  <c r="Z165" i="7"/>
  <c r="BQ164" i="7"/>
  <c r="BP164" i="7"/>
  <c r="BU164" i="7"/>
  <c r="BV164" i="7" s="1"/>
  <c r="AC164" i="7"/>
  <c r="F166" i="7"/>
  <c r="L165" i="7"/>
  <c r="DB211" i="7" l="1"/>
  <c r="CL237" i="7"/>
  <c r="CT208" i="7"/>
  <c r="CZ213" i="7"/>
  <c r="DA212" i="7"/>
  <c r="CV212" i="7"/>
  <c r="CW212" i="7"/>
  <c r="CX212" i="7"/>
  <c r="AW229" i="7"/>
  <c r="AU229" i="7"/>
  <c r="DB210" i="7"/>
  <c r="AZ229" i="7"/>
  <c r="AV229" i="7"/>
  <c r="BT167" i="7"/>
  <c r="BR166" i="7"/>
  <c r="CF239" i="7"/>
  <c r="CG239" i="7"/>
  <c r="CH239" i="7"/>
  <c r="CK239" i="7"/>
  <c r="CD200" i="7"/>
  <c r="CG238" i="7"/>
  <c r="CH238" i="7"/>
  <c r="CK238" i="7"/>
  <c r="CF238" i="7"/>
  <c r="AS181" i="7"/>
  <c r="CT209" i="7"/>
  <c r="CJ240" i="7"/>
  <c r="CR212" i="7"/>
  <c r="CR213" i="7" s="1"/>
  <c r="CN211" i="7"/>
  <c r="CO211" i="7"/>
  <c r="CS211" i="7"/>
  <c r="CP211" i="7"/>
  <c r="BX201" i="7"/>
  <c r="BY201" i="7"/>
  <c r="BI225" i="7"/>
  <c r="CP210" i="7"/>
  <c r="CN210" i="7"/>
  <c r="CO210" i="7"/>
  <c r="CS210" i="7"/>
  <c r="AR182" i="7"/>
  <c r="AO182" i="7"/>
  <c r="AN182" i="7"/>
  <c r="AM182" i="7"/>
  <c r="AQ183" i="7"/>
  <c r="CC201" i="7"/>
  <c r="BZ201" i="7"/>
  <c r="CB202" i="7"/>
  <c r="AZ231" i="7"/>
  <c r="AW231" i="7"/>
  <c r="AU231" i="7"/>
  <c r="AV231" i="7"/>
  <c r="BI224" i="7"/>
  <c r="AU230" i="7"/>
  <c r="AZ230" i="7"/>
  <c r="AV230" i="7"/>
  <c r="AW230" i="7"/>
  <c r="AY232" i="7"/>
  <c r="BG228" i="7"/>
  <c r="BH227" i="7"/>
  <c r="BD227" i="7"/>
  <c r="BC227" i="7"/>
  <c r="BE227" i="7"/>
  <c r="BQ165" i="7"/>
  <c r="BP165" i="7"/>
  <c r="BU165" i="7"/>
  <c r="BV165" i="7" s="1"/>
  <c r="AC165" i="7"/>
  <c r="BS166" i="7"/>
  <c r="Z166" i="7"/>
  <c r="AA167" i="7"/>
  <c r="Y166" i="7"/>
  <c r="X166" i="7"/>
  <c r="AB166" i="7"/>
  <c r="W166" i="7"/>
  <c r="BH226" i="7"/>
  <c r="BC226" i="7"/>
  <c r="BD226" i="7"/>
  <c r="BE226" i="7"/>
  <c r="F167" i="7"/>
  <c r="L166" i="7"/>
  <c r="CL238" i="7" l="1"/>
  <c r="DB212" i="7"/>
  <c r="BA229" i="7"/>
  <c r="CL239" i="7"/>
  <c r="BR167" i="7"/>
  <c r="BT168" i="7"/>
  <c r="DA213" i="7"/>
  <c r="CW213" i="7"/>
  <c r="CV213" i="7"/>
  <c r="CX213" i="7"/>
  <c r="CZ214" i="7"/>
  <c r="BA230" i="7"/>
  <c r="CT211" i="7"/>
  <c r="AS182" i="7"/>
  <c r="BI226" i="7"/>
  <c r="CJ241" i="7"/>
  <c r="CJ242" i="7" s="1"/>
  <c r="CG240" i="7"/>
  <c r="CH240" i="7"/>
  <c r="CK240" i="7"/>
  <c r="CF240" i="7"/>
  <c r="CR214" i="7"/>
  <c r="CS213" i="7"/>
  <c r="CN213" i="7"/>
  <c r="CO213" i="7"/>
  <c r="CP213" i="7"/>
  <c r="BX202" i="7"/>
  <c r="BY202" i="7"/>
  <c r="CS212" i="7"/>
  <c r="CN212" i="7"/>
  <c r="CO212" i="7"/>
  <c r="CP212" i="7"/>
  <c r="CT210" i="7"/>
  <c r="AR183" i="7"/>
  <c r="AO183" i="7"/>
  <c r="AN183" i="7"/>
  <c r="AM183" i="7"/>
  <c r="AQ184" i="7"/>
  <c r="CC202" i="7"/>
  <c r="BZ202" i="7"/>
  <c r="CD201" i="7"/>
  <c r="CB203" i="7"/>
  <c r="AW232" i="7"/>
  <c r="AV232" i="7"/>
  <c r="AU232" i="7"/>
  <c r="AZ232" i="7"/>
  <c r="BA231" i="7"/>
  <c r="AY233" i="7"/>
  <c r="BI227" i="7"/>
  <c r="BS167" i="7"/>
  <c r="Z167" i="7"/>
  <c r="BH228" i="7"/>
  <c r="BE228" i="7"/>
  <c r="BC228" i="7"/>
  <c r="BD228" i="7"/>
  <c r="AC166" i="7"/>
  <c r="BU166" i="7"/>
  <c r="BV166" i="7" s="1"/>
  <c r="BQ166" i="7"/>
  <c r="BP166" i="7"/>
  <c r="AB167" i="7"/>
  <c r="AA168" i="7"/>
  <c r="Y167" i="7"/>
  <c r="X167" i="7"/>
  <c r="W167" i="7"/>
  <c r="BG229" i="7"/>
  <c r="F168" i="7"/>
  <c r="L167" i="7"/>
  <c r="CL240" i="7" l="1"/>
  <c r="DB213" i="7"/>
  <c r="BA232" i="7"/>
  <c r="CZ215" i="7"/>
  <c r="CZ216" i="7" s="1"/>
  <c r="CW214" i="7"/>
  <c r="CX214" i="7"/>
  <c r="CV214" i="7"/>
  <c r="DA214" i="7"/>
  <c r="BT169" i="7"/>
  <c r="BR168" i="7"/>
  <c r="CJ243" i="7"/>
  <c r="CJ244" i="7" s="1"/>
  <c r="CH242" i="7"/>
  <c r="CF242" i="7"/>
  <c r="CG242" i="7"/>
  <c r="CK242" i="7"/>
  <c r="CD202" i="7"/>
  <c r="CT212" i="7"/>
  <c r="CK241" i="7"/>
  <c r="CF241" i="7"/>
  <c r="CG241" i="7"/>
  <c r="CH241" i="7"/>
  <c r="AS183" i="7"/>
  <c r="CT213" i="7"/>
  <c r="CS214" i="7"/>
  <c r="CP214" i="7"/>
  <c r="CO214" i="7"/>
  <c r="CN214" i="7"/>
  <c r="BY203" i="7"/>
  <c r="BX203" i="7"/>
  <c r="CR215" i="7"/>
  <c r="AR184" i="7"/>
  <c r="AO184" i="7"/>
  <c r="AN184" i="7"/>
  <c r="AM184" i="7"/>
  <c r="AQ185" i="7"/>
  <c r="BZ203" i="7"/>
  <c r="CC203" i="7"/>
  <c r="CB204" i="7"/>
  <c r="AW233" i="7"/>
  <c r="AU233" i="7"/>
  <c r="AV233" i="7"/>
  <c r="AZ233" i="7"/>
  <c r="AY234" i="7"/>
  <c r="BI228" i="7"/>
  <c r="AA169" i="7"/>
  <c r="W168" i="7"/>
  <c r="X168" i="7"/>
  <c r="AB168" i="7"/>
  <c r="Y168" i="7"/>
  <c r="AC167" i="7"/>
  <c r="BG230" i="7"/>
  <c r="BG231" i="7" s="1"/>
  <c r="BD229" i="7"/>
  <c r="BH229" i="7"/>
  <c r="BC229" i="7"/>
  <c r="BE229" i="7"/>
  <c r="BP167" i="7"/>
  <c r="BQ167" i="7"/>
  <c r="BU167" i="7"/>
  <c r="BV167" i="7" s="1"/>
  <c r="BS168" i="7"/>
  <c r="Z168" i="7"/>
  <c r="F169" i="7"/>
  <c r="L168" i="7"/>
  <c r="DB214" i="7" l="1"/>
  <c r="BR169" i="7"/>
  <c r="BT170" i="7"/>
  <c r="CZ217" i="7"/>
  <c r="DA216" i="7"/>
  <c r="CX216" i="7"/>
  <c r="CV216" i="7"/>
  <c r="CW216" i="7"/>
  <c r="DA215" i="7"/>
  <c r="CX215" i="7"/>
  <c r="CW215" i="7"/>
  <c r="CV215" i="7"/>
  <c r="CD203" i="7"/>
  <c r="BA233" i="7"/>
  <c r="CL241" i="7"/>
  <c r="CJ245" i="7"/>
  <c r="CJ246" i="7" s="1"/>
  <c r="CK243" i="7"/>
  <c r="CH243" i="7"/>
  <c r="CT214" i="7"/>
  <c r="CG243" i="7"/>
  <c r="CF243" i="7"/>
  <c r="CL242" i="7"/>
  <c r="AC168" i="7"/>
  <c r="CF244" i="7"/>
  <c r="CG244" i="7"/>
  <c r="CH244" i="7"/>
  <c r="CK244" i="7"/>
  <c r="AS184" i="7"/>
  <c r="BI229" i="7"/>
  <c r="CR216" i="7"/>
  <c r="CN215" i="7"/>
  <c r="CO215" i="7"/>
  <c r="CP215" i="7"/>
  <c r="CS215" i="7"/>
  <c r="BX204" i="7"/>
  <c r="BY204" i="7"/>
  <c r="AR185" i="7"/>
  <c r="AO185" i="7"/>
  <c r="AN185" i="7"/>
  <c r="AM185" i="7"/>
  <c r="AQ186" i="7"/>
  <c r="CC204" i="7"/>
  <c r="BZ204" i="7"/>
  <c r="CB205" i="7"/>
  <c r="AY235" i="7"/>
  <c r="AY236" i="7" s="1"/>
  <c r="AW234" i="7"/>
  <c r="AZ234" i="7"/>
  <c r="AU234" i="7"/>
  <c r="AV234" i="7"/>
  <c r="BD231" i="7"/>
  <c r="BC231" i="7"/>
  <c r="BH231" i="7"/>
  <c r="BE231" i="7"/>
  <c r="W169" i="7"/>
  <c r="AA170" i="7"/>
  <c r="AB169" i="7"/>
  <c r="Y169" i="7"/>
  <c r="X169" i="7"/>
  <c r="BS169" i="7"/>
  <c r="Z169" i="7"/>
  <c r="BH230" i="7"/>
  <c r="BE230" i="7"/>
  <c r="BD230" i="7"/>
  <c r="BC230" i="7"/>
  <c r="BG232" i="7"/>
  <c r="BQ168" i="7"/>
  <c r="BU168" i="7"/>
  <c r="BV168" i="7" s="1"/>
  <c r="BP168" i="7"/>
  <c r="F170" i="7"/>
  <c r="L169" i="7"/>
  <c r="DB216" i="7" l="1"/>
  <c r="DB215" i="7"/>
  <c r="DA217" i="7"/>
  <c r="CW217" i="7"/>
  <c r="CX217" i="7"/>
  <c r="CV217" i="7"/>
  <c r="CZ218" i="7"/>
  <c r="BT171" i="7"/>
  <c r="BR170" i="7"/>
  <c r="CL243" i="7"/>
  <c r="CT215" i="7"/>
  <c r="CH246" i="7"/>
  <c r="CF246" i="7"/>
  <c r="CJ247" i="7"/>
  <c r="CG247" i="7" s="1"/>
  <c r="CK246" i="7"/>
  <c r="CG246" i="7"/>
  <c r="CL244" i="7"/>
  <c r="CH245" i="7"/>
  <c r="CK245" i="7"/>
  <c r="CG245" i="7"/>
  <c r="CF245" i="7"/>
  <c r="BI230" i="7"/>
  <c r="BA234" i="7"/>
  <c r="CS216" i="7"/>
  <c r="CO216" i="7"/>
  <c r="CP216" i="7"/>
  <c r="CN216" i="7"/>
  <c r="BI231" i="7"/>
  <c r="CR217" i="7"/>
  <c r="BY205" i="7"/>
  <c r="BX205" i="7"/>
  <c r="CD204" i="7"/>
  <c r="AC169" i="7"/>
  <c r="AS185" i="7"/>
  <c r="AR186" i="7"/>
  <c r="AO186" i="7"/>
  <c r="AN186" i="7"/>
  <c r="AM186" i="7"/>
  <c r="AQ187" i="7"/>
  <c r="BZ205" i="7"/>
  <c r="CC205" i="7"/>
  <c r="CB206" i="7"/>
  <c r="AU236" i="7"/>
  <c r="AZ236" i="7"/>
  <c r="AW236" i="7"/>
  <c r="AV236" i="7"/>
  <c r="AV235" i="7"/>
  <c r="AW235" i="7"/>
  <c r="AZ235" i="7"/>
  <c r="AU235" i="7"/>
  <c r="AY237" i="7"/>
  <c r="AY238" i="7" s="1"/>
  <c r="BG233" i="7"/>
  <c r="BG234" i="7" s="1"/>
  <c r="BP169" i="7"/>
  <c r="BQ169" i="7"/>
  <c r="BU169" i="7"/>
  <c r="BV169" i="7" s="1"/>
  <c r="BD232" i="7"/>
  <c r="BH232" i="7"/>
  <c r="BE232" i="7"/>
  <c r="BC232" i="7"/>
  <c r="W170" i="7"/>
  <c r="AA171" i="7"/>
  <c r="AB170" i="7"/>
  <c r="X170" i="7"/>
  <c r="Y170" i="7"/>
  <c r="BS170" i="7"/>
  <c r="Z170" i="7"/>
  <c r="F171" i="7"/>
  <c r="L170" i="7"/>
  <c r="DB217" i="7" l="1"/>
  <c r="CL245" i="7"/>
  <c r="BA236" i="7"/>
  <c r="BT172" i="7"/>
  <c r="BR171" i="7"/>
  <c r="CW218" i="7"/>
  <c r="DA218" i="7"/>
  <c r="CV218" i="7"/>
  <c r="CX218" i="7"/>
  <c r="CZ219" i="7"/>
  <c r="CL246" i="7"/>
  <c r="CT216" i="7"/>
  <c r="CF247" i="7"/>
  <c r="CH247" i="7"/>
  <c r="CK247" i="7"/>
  <c r="CJ248" i="7"/>
  <c r="CF248" i="7" s="1"/>
  <c r="CD205" i="7"/>
  <c r="CR218" i="7"/>
  <c r="CR219" i="7" s="1"/>
  <c r="CN217" i="7"/>
  <c r="CO217" i="7"/>
  <c r="CP217" i="7"/>
  <c r="CS217" i="7"/>
  <c r="AS186" i="7"/>
  <c r="BY206" i="7"/>
  <c r="BX206" i="7"/>
  <c r="AR187" i="7"/>
  <c r="AO187" i="7"/>
  <c r="AN187" i="7"/>
  <c r="AM187" i="7"/>
  <c r="AQ188" i="7"/>
  <c r="CC206" i="7"/>
  <c r="BZ206" i="7"/>
  <c r="CB207" i="7"/>
  <c r="AZ238" i="7"/>
  <c r="AW238" i="7"/>
  <c r="AV238" i="7"/>
  <c r="AU238" i="7"/>
  <c r="AY239" i="7"/>
  <c r="AY240" i="7" s="1"/>
  <c r="BA235" i="7"/>
  <c r="AZ237" i="7"/>
  <c r="AW237" i="7"/>
  <c r="AV237" i="7"/>
  <c r="AU237" i="7"/>
  <c r="BI232" i="7"/>
  <c r="BC234" i="7"/>
  <c r="BE234" i="7"/>
  <c r="BD234" i="7"/>
  <c r="BH234" i="7"/>
  <c r="AC170" i="7"/>
  <c r="BP170" i="7"/>
  <c r="BQ170" i="7"/>
  <c r="BU170" i="7"/>
  <c r="BV170" i="7" s="1"/>
  <c r="W171" i="7"/>
  <c r="AA172" i="7"/>
  <c r="AB171" i="7"/>
  <c r="Y171" i="7"/>
  <c r="X171" i="7"/>
  <c r="BS171" i="7"/>
  <c r="Z171" i="7"/>
  <c r="BC233" i="7"/>
  <c r="BD233" i="7"/>
  <c r="BH233" i="7"/>
  <c r="BE233" i="7"/>
  <c r="BG235" i="7"/>
  <c r="F172" i="7"/>
  <c r="L171" i="7"/>
  <c r="DB218" i="7" l="1"/>
  <c r="CL247" i="7"/>
  <c r="CX219" i="7"/>
  <c r="CV219" i="7"/>
  <c r="DA219" i="7"/>
  <c r="DB219" i="7" s="1"/>
  <c r="CW219" i="7"/>
  <c r="CZ220" i="7"/>
  <c r="CZ221" i="7" s="1"/>
  <c r="BT173" i="7"/>
  <c r="BR172" i="7"/>
  <c r="CH248" i="7"/>
  <c r="CK248" i="7"/>
  <c r="CG248" i="7"/>
  <c r="CJ249" i="7"/>
  <c r="CT217" i="7"/>
  <c r="CR220" i="7"/>
  <c r="CR221" i="7" s="1"/>
  <c r="CP219" i="7"/>
  <c r="CN219" i="7"/>
  <c r="CO219" i="7"/>
  <c r="CS219" i="7"/>
  <c r="CD206" i="7"/>
  <c r="CS218" i="7"/>
  <c r="CN218" i="7"/>
  <c r="CP218" i="7"/>
  <c r="CO218" i="7"/>
  <c r="BY207" i="7"/>
  <c r="BX207" i="7"/>
  <c r="BA237" i="7"/>
  <c r="BI233" i="7"/>
  <c r="AS187" i="7"/>
  <c r="AR188" i="7"/>
  <c r="AO188" i="7"/>
  <c r="AN188" i="7"/>
  <c r="AM188" i="7"/>
  <c r="AQ189" i="7"/>
  <c r="CC207" i="7"/>
  <c r="BZ207" i="7"/>
  <c r="CB208" i="7"/>
  <c r="AW240" i="7"/>
  <c r="AZ240" i="7"/>
  <c r="AU240" i="7"/>
  <c r="AV240" i="7"/>
  <c r="AW239" i="7"/>
  <c r="AV239" i="7"/>
  <c r="AU239" i="7"/>
  <c r="AZ239" i="7"/>
  <c r="BA238" i="7"/>
  <c r="AY241" i="7"/>
  <c r="X172" i="7"/>
  <c r="AA173" i="7"/>
  <c r="W172" i="7"/>
  <c r="AB172" i="7"/>
  <c r="Y172" i="7"/>
  <c r="BU171" i="7"/>
  <c r="BV171" i="7" s="1"/>
  <c r="BP171" i="7"/>
  <c r="BQ171" i="7"/>
  <c r="AC171" i="7"/>
  <c r="BS172" i="7"/>
  <c r="Z172" i="7"/>
  <c r="BG236" i="7"/>
  <c r="BD235" i="7"/>
  <c r="BE235" i="7"/>
  <c r="BC235" i="7"/>
  <c r="BH235" i="7"/>
  <c r="BI234" i="7"/>
  <c r="F173" i="7"/>
  <c r="L172" i="7"/>
  <c r="CL248" i="7" l="1"/>
  <c r="DA221" i="7"/>
  <c r="CV221" i="7"/>
  <c r="CW221" i="7"/>
  <c r="CX221" i="7"/>
  <c r="BT174" i="7"/>
  <c r="BR173" i="7"/>
  <c r="CW220" i="7"/>
  <c r="DA220" i="7"/>
  <c r="CV220" i="7"/>
  <c r="CX220" i="7"/>
  <c r="CZ222" i="7"/>
  <c r="CH249" i="7"/>
  <c r="CF249" i="7"/>
  <c r="CK249" i="7"/>
  <c r="CG249" i="7"/>
  <c r="CD207" i="7"/>
  <c r="CJ250" i="7"/>
  <c r="BA239" i="7"/>
  <c r="CT219" i="7"/>
  <c r="CT218" i="7"/>
  <c r="BY208" i="7"/>
  <c r="BX208" i="7"/>
  <c r="CR222" i="7"/>
  <c r="CR223" i="7" s="1"/>
  <c r="CP221" i="7"/>
  <c r="CS221" i="7"/>
  <c r="CN221" i="7"/>
  <c r="CO221" i="7"/>
  <c r="AS188" i="7"/>
  <c r="CP220" i="7"/>
  <c r="CS220" i="7"/>
  <c r="CN220" i="7"/>
  <c r="CO220" i="7"/>
  <c r="AR189" i="7"/>
  <c r="AO189" i="7"/>
  <c r="AN189" i="7"/>
  <c r="AM189" i="7"/>
  <c r="AQ190" i="7"/>
  <c r="BZ208" i="7"/>
  <c r="CC208" i="7"/>
  <c r="CB209" i="7"/>
  <c r="AC172" i="7"/>
  <c r="AY242" i="7"/>
  <c r="AV241" i="7"/>
  <c r="AU241" i="7"/>
  <c r="AZ241" i="7"/>
  <c r="AW241" i="7"/>
  <c r="BG237" i="7"/>
  <c r="BA240" i="7"/>
  <c r="Z173" i="7"/>
  <c r="BS173" i="7"/>
  <c r="BC236" i="7"/>
  <c r="BH236" i="7"/>
  <c r="BD236" i="7"/>
  <c r="BE236" i="7"/>
  <c r="Y173" i="7"/>
  <c r="W173" i="7"/>
  <c r="X173" i="7"/>
  <c r="AB173" i="7"/>
  <c r="AA174" i="7"/>
  <c r="BI235" i="7"/>
  <c r="BU172" i="7"/>
  <c r="BV172" i="7" s="1"/>
  <c r="BQ172" i="7"/>
  <c r="BP172" i="7"/>
  <c r="F174" i="7"/>
  <c r="L173" i="7"/>
  <c r="DB221" i="7" l="1"/>
  <c r="CL249" i="7"/>
  <c r="CT220" i="7"/>
  <c r="CD208" i="7"/>
  <c r="DB220" i="7"/>
  <c r="BR174" i="7"/>
  <c r="BT175" i="7"/>
  <c r="CZ223" i="7"/>
  <c r="CV222" i="7"/>
  <c r="CX222" i="7"/>
  <c r="DA222" i="7"/>
  <c r="CW222" i="7"/>
  <c r="BA241" i="7"/>
  <c r="CG250" i="7"/>
  <c r="CH250" i="7"/>
  <c r="CK250" i="7"/>
  <c r="CF250" i="7"/>
  <c r="CJ251" i="7"/>
  <c r="CJ252" i="7" s="1"/>
  <c r="AS189" i="7"/>
  <c r="CT221" i="7"/>
  <c r="BY209" i="7"/>
  <c r="BX209" i="7"/>
  <c r="CR224" i="7"/>
  <c r="CO223" i="7"/>
  <c r="CS223" i="7"/>
  <c r="CN223" i="7"/>
  <c r="CP223" i="7"/>
  <c r="CN222" i="7"/>
  <c r="CP222" i="7"/>
  <c r="CS222" i="7"/>
  <c r="CO222" i="7"/>
  <c r="AR190" i="7"/>
  <c r="AO190" i="7"/>
  <c r="AN190" i="7"/>
  <c r="AM190" i="7"/>
  <c r="AQ191" i="7"/>
  <c r="CC209" i="7"/>
  <c r="BZ209" i="7"/>
  <c r="CB210" i="7"/>
  <c r="AY243" i="7"/>
  <c r="BG238" i="7"/>
  <c r="BC237" i="7"/>
  <c r="BE237" i="7"/>
  <c r="BH237" i="7"/>
  <c r="BD237" i="7"/>
  <c r="AZ242" i="7"/>
  <c r="AW242" i="7"/>
  <c r="AV242" i="7"/>
  <c r="AU242" i="7"/>
  <c r="AA175" i="7"/>
  <c r="X174" i="7"/>
  <c r="W174" i="7"/>
  <c r="AB174" i="7"/>
  <c r="Y174" i="7"/>
  <c r="AC173" i="7"/>
  <c r="BQ173" i="7"/>
  <c r="BP173" i="7"/>
  <c r="BU173" i="7"/>
  <c r="BV173" i="7" s="1"/>
  <c r="BS174" i="7"/>
  <c r="Z174" i="7"/>
  <c r="BI236" i="7"/>
  <c r="F175" i="7"/>
  <c r="L174" i="7"/>
  <c r="DB222" i="7" l="1"/>
  <c r="CL250" i="7"/>
  <c r="CT222" i="7"/>
  <c r="CW223" i="7"/>
  <c r="DA223" i="7"/>
  <c r="CX223" i="7"/>
  <c r="CV223" i="7"/>
  <c r="CZ224" i="7"/>
  <c r="BT176" i="7"/>
  <c r="BR175" i="7"/>
  <c r="CT223" i="7"/>
  <c r="CD209" i="7"/>
  <c r="CK251" i="7"/>
  <c r="CF251" i="7"/>
  <c r="CH251" i="7"/>
  <c r="CG251" i="7"/>
  <c r="CF252" i="7"/>
  <c r="CK252" i="7"/>
  <c r="CG252" i="7"/>
  <c r="CH252" i="7"/>
  <c r="CJ253" i="7"/>
  <c r="AS190" i="7"/>
  <c r="CO224" i="7"/>
  <c r="CN224" i="7"/>
  <c r="CS224" i="7"/>
  <c r="CP224" i="7"/>
  <c r="BY210" i="7"/>
  <c r="BX210" i="7"/>
  <c r="BA242" i="7"/>
  <c r="CR225" i="7"/>
  <c r="BI237" i="7"/>
  <c r="AR191" i="7"/>
  <c r="AO191" i="7"/>
  <c r="AN191" i="7"/>
  <c r="AM191" i="7"/>
  <c r="AQ192" i="7"/>
  <c r="CC210" i="7"/>
  <c r="BZ210" i="7"/>
  <c r="CB211" i="7"/>
  <c r="AC174" i="7"/>
  <c r="BH238" i="7"/>
  <c r="BE238" i="7"/>
  <c r="BD238" i="7"/>
  <c r="BC238" i="7"/>
  <c r="AY244" i="7"/>
  <c r="AU243" i="7"/>
  <c r="AV243" i="7"/>
  <c r="AW243" i="7"/>
  <c r="AZ243" i="7"/>
  <c r="BG239" i="7"/>
  <c r="BU174" i="7"/>
  <c r="BV174" i="7" s="1"/>
  <c r="BP174" i="7"/>
  <c r="BQ174" i="7"/>
  <c r="Z175" i="7"/>
  <c r="BS175" i="7"/>
  <c r="W175" i="7"/>
  <c r="AB175" i="7"/>
  <c r="Y175" i="7"/>
  <c r="X175" i="7"/>
  <c r="AA176" i="7"/>
  <c r="F176" i="7"/>
  <c r="L175" i="7"/>
  <c r="DB223" i="7" l="1"/>
  <c r="BA243" i="7"/>
  <c r="CL251" i="7"/>
  <c r="CD210" i="7"/>
  <c r="BR176" i="7"/>
  <c r="BT177" i="7"/>
  <c r="CW224" i="7"/>
  <c r="CV224" i="7"/>
  <c r="CX224" i="7"/>
  <c r="DA224" i="7"/>
  <c r="CZ225" i="7"/>
  <c r="CL252" i="7"/>
  <c r="CJ254" i="7"/>
  <c r="CH253" i="7"/>
  <c r="CG253" i="7"/>
  <c r="CF253" i="7"/>
  <c r="CK253" i="7"/>
  <c r="AS191" i="7"/>
  <c r="CT224" i="7"/>
  <c r="BX211" i="7"/>
  <c r="BY211" i="7"/>
  <c r="CR226" i="7"/>
  <c r="CR227" i="7" s="1"/>
  <c r="CP225" i="7"/>
  <c r="CS225" i="7"/>
  <c r="CO225" i="7"/>
  <c r="CN225" i="7"/>
  <c r="BI238" i="7"/>
  <c r="AR192" i="7"/>
  <c r="AO192" i="7"/>
  <c r="AN192" i="7"/>
  <c r="AM192" i="7"/>
  <c r="AQ193" i="7"/>
  <c r="CC211" i="7"/>
  <c r="BZ211" i="7"/>
  <c r="CB212" i="7"/>
  <c r="AU244" i="7"/>
  <c r="AW244" i="7"/>
  <c r="AV244" i="7"/>
  <c r="AZ244" i="7"/>
  <c r="BC239" i="7"/>
  <c r="BE239" i="7"/>
  <c r="BD239" i="7"/>
  <c r="BH239" i="7"/>
  <c r="AY245" i="7"/>
  <c r="BG240" i="7"/>
  <c r="BS176" i="7"/>
  <c r="Z176" i="7"/>
  <c r="AC175" i="7"/>
  <c r="Y176" i="7"/>
  <c r="X176" i="7"/>
  <c r="AA177" i="7"/>
  <c r="AB176" i="7"/>
  <c r="W176" i="7"/>
  <c r="BP175" i="7"/>
  <c r="BU175" i="7"/>
  <c r="BV175" i="7" s="1"/>
  <c r="BQ175" i="7"/>
  <c r="F177" i="7"/>
  <c r="L176" i="7"/>
  <c r="DB224" i="7" l="1"/>
  <c r="CL253" i="7"/>
  <c r="CX225" i="7"/>
  <c r="CW225" i="7"/>
  <c r="CV225" i="7"/>
  <c r="DA225" i="7"/>
  <c r="BT178" i="7"/>
  <c r="BR177" i="7"/>
  <c r="CZ226" i="7"/>
  <c r="BA244" i="7"/>
  <c r="CD211" i="7"/>
  <c r="CJ255" i="7"/>
  <c r="CK254" i="7"/>
  <c r="CG254" i="7"/>
  <c r="CF254" i="7"/>
  <c r="CH254" i="7"/>
  <c r="BI239" i="7"/>
  <c r="CT225" i="7"/>
  <c r="CR228" i="7"/>
  <c r="CR229" i="7" s="1"/>
  <c r="CO227" i="7"/>
  <c r="CP227" i="7"/>
  <c r="CS227" i="7"/>
  <c r="CN227" i="7"/>
  <c r="CO226" i="7"/>
  <c r="CP226" i="7"/>
  <c r="CN226" i="7"/>
  <c r="CS226" i="7"/>
  <c r="BX212" i="7"/>
  <c r="BY212" i="7"/>
  <c r="AS192" i="7"/>
  <c r="AR193" i="7"/>
  <c r="AO193" i="7"/>
  <c r="AN193" i="7"/>
  <c r="AM193" i="7"/>
  <c r="AQ194" i="7"/>
  <c r="BZ212" i="7"/>
  <c r="CC212" i="7"/>
  <c r="CB213" i="7"/>
  <c r="AC176" i="7"/>
  <c r="BE240" i="7"/>
  <c r="BD240" i="7"/>
  <c r="BC240" i="7"/>
  <c r="BH240" i="7"/>
  <c r="BG241" i="7"/>
  <c r="AV245" i="7"/>
  <c r="AW245" i="7"/>
  <c r="AU245" i="7"/>
  <c r="AZ245" i="7"/>
  <c r="AY246" i="7"/>
  <c r="AB177" i="7"/>
  <c r="Y177" i="7"/>
  <c r="AA178" i="7"/>
  <c r="W177" i="7"/>
  <c r="X177" i="7"/>
  <c r="BU176" i="7"/>
  <c r="BV176" i="7" s="1"/>
  <c r="BP176" i="7"/>
  <c r="BQ176" i="7"/>
  <c r="BS177" i="7"/>
  <c r="Z177" i="7"/>
  <c r="F178" i="7"/>
  <c r="L177" i="7"/>
  <c r="DB225" i="7" l="1"/>
  <c r="CD212" i="7"/>
  <c r="CV226" i="7"/>
  <c r="CX226" i="7"/>
  <c r="CW226" i="7"/>
  <c r="DA226" i="7"/>
  <c r="BT179" i="7"/>
  <c r="BR178" i="7"/>
  <c r="CZ227" i="7"/>
  <c r="CL254" i="7"/>
  <c r="CG255" i="7"/>
  <c r="CK255" i="7"/>
  <c r="CH255" i="7"/>
  <c r="CF255" i="7"/>
  <c r="CJ256" i="7"/>
  <c r="CJ257" i="7" s="1"/>
  <c r="BI240" i="7"/>
  <c r="BA245" i="7"/>
  <c r="CT226" i="7"/>
  <c r="CT227" i="7"/>
  <c r="BX213" i="7"/>
  <c r="BY213" i="7"/>
  <c r="AC177" i="7"/>
  <c r="CR230" i="7"/>
  <c r="CR231" i="7" s="1"/>
  <c r="CS229" i="7"/>
  <c r="CN229" i="7"/>
  <c r="CO229" i="7"/>
  <c r="CP229" i="7"/>
  <c r="AS193" i="7"/>
  <c r="CN228" i="7"/>
  <c r="CO228" i="7"/>
  <c r="CP228" i="7"/>
  <c r="CS228" i="7"/>
  <c r="AR194" i="7"/>
  <c r="AO194" i="7"/>
  <c r="AM194" i="7"/>
  <c r="AN194" i="7"/>
  <c r="AQ195" i="7"/>
  <c r="BZ213" i="7"/>
  <c r="CC213" i="7"/>
  <c r="CD213" i="7" s="1"/>
  <c r="CB214" i="7"/>
  <c r="BH241" i="7"/>
  <c r="BD241" i="7"/>
  <c r="BE241" i="7"/>
  <c r="BC241" i="7"/>
  <c r="BG242" i="7"/>
  <c r="BG243" i="7" s="1"/>
  <c r="AV246" i="7"/>
  <c r="AU246" i="7"/>
  <c r="AW246" i="7"/>
  <c r="AZ246" i="7"/>
  <c r="AY247" i="7"/>
  <c r="AY248" i="7" s="1"/>
  <c r="Y178" i="7"/>
  <c r="AA179" i="7"/>
  <c r="X178" i="7"/>
  <c r="W178" i="7"/>
  <c r="AB178" i="7"/>
  <c r="BS178" i="7"/>
  <c r="Z178" i="7"/>
  <c r="BU177" i="7"/>
  <c r="BV177" i="7" s="1"/>
  <c r="BQ177" i="7"/>
  <c r="BP177" i="7"/>
  <c r="F179" i="7"/>
  <c r="L178" i="7"/>
  <c r="DB226" i="7" l="1"/>
  <c r="BA246" i="7"/>
  <c r="BT180" i="7"/>
  <c r="BR179" i="7"/>
  <c r="CZ228" i="7"/>
  <c r="CZ229" i="7" s="1"/>
  <c r="CV227" i="7"/>
  <c r="CW227" i="7"/>
  <c r="CX227" i="7"/>
  <c r="DA227" i="7"/>
  <c r="AS194" i="7"/>
  <c r="CK257" i="7"/>
  <c r="CG257" i="7"/>
  <c r="CF257" i="7"/>
  <c r="CH257" i="7"/>
  <c r="CJ258" i="7"/>
  <c r="CF256" i="7"/>
  <c r="CG256" i="7"/>
  <c r="CK256" i="7"/>
  <c r="CH256" i="7"/>
  <c r="CL255" i="7"/>
  <c r="AC178" i="7"/>
  <c r="CT229" i="7"/>
  <c r="CR232" i="7"/>
  <c r="CR233" i="7" s="1"/>
  <c r="CS231" i="7"/>
  <c r="CP231" i="7"/>
  <c r="CN231" i="7"/>
  <c r="CO231" i="7"/>
  <c r="BI241" i="7"/>
  <c r="CN230" i="7"/>
  <c r="CP230" i="7"/>
  <c r="CS230" i="7"/>
  <c r="CO230" i="7"/>
  <c r="BX214" i="7"/>
  <c r="BY214" i="7"/>
  <c r="CT228" i="7"/>
  <c r="AQ196" i="7"/>
  <c r="AR195" i="7"/>
  <c r="AO195" i="7"/>
  <c r="AM195" i="7"/>
  <c r="AN195" i="7"/>
  <c r="CC214" i="7"/>
  <c r="BZ214" i="7"/>
  <c r="CB215" i="7"/>
  <c r="BC243" i="7"/>
  <c r="BD243" i="7"/>
  <c r="BH243" i="7"/>
  <c r="BE243" i="7"/>
  <c r="AZ248" i="7"/>
  <c r="AW248" i="7"/>
  <c r="AU248" i="7"/>
  <c r="AV248" i="7"/>
  <c r="BH242" i="7"/>
  <c r="BC242" i="7"/>
  <c r="BD242" i="7"/>
  <c r="BE242" i="7"/>
  <c r="BG244" i="7"/>
  <c r="BG245" i="7" s="1"/>
  <c r="BH245" i="7" s="1"/>
  <c r="AZ247" i="7"/>
  <c r="AW247" i="7"/>
  <c r="AV247" i="7"/>
  <c r="AU247" i="7"/>
  <c r="AY249" i="7"/>
  <c r="BS179" i="7"/>
  <c r="Z179" i="7"/>
  <c r="BU178" i="7"/>
  <c r="BV178" i="7" s="1"/>
  <c r="BQ178" i="7"/>
  <c r="BP178" i="7"/>
  <c r="X179" i="7"/>
  <c r="AA180" i="7"/>
  <c r="W179" i="7"/>
  <c r="AB179" i="7"/>
  <c r="Y179" i="7"/>
  <c r="F180" i="7"/>
  <c r="L179" i="7"/>
  <c r="DB227" i="7" l="1"/>
  <c r="CL257" i="7"/>
  <c r="CV229" i="7"/>
  <c r="DA229" i="7"/>
  <c r="CW229" i="7"/>
  <c r="CX229" i="7"/>
  <c r="CZ230" i="7"/>
  <c r="CW228" i="7"/>
  <c r="CX228" i="7"/>
  <c r="DA228" i="7"/>
  <c r="CV228" i="7"/>
  <c r="BT181" i="7"/>
  <c r="BR180" i="7"/>
  <c r="CL256" i="7"/>
  <c r="CG258" i="7"/>
  <c r="CK258" i="7"/>
  <c r="CF258" i="7"/>
  <c r="CH258" i="7"/>
  <c r="CT230" i="7"/>
  <c r="CJ259" i="7"/>
  <c r="CT231" i="7"/>
  <c r="CD214" i="7"/>
  <c r="AS195" i="7"/>
  <c r="CR234" i="7"/>
  <c r="CS233" i="7"/>
  <c r="CN233" i="7"/>
  <c r="CO233" i="7"/>
  <c r="CP233" i="7"/>
  <c r="BX215" i="7"/>
  <c r="BY215" i="7"/>
  <c r="BA248" i="7"/>
  <c r="BI243" i="7"/>
  <c r="BA247" i="7"/>
  <c r="CP232" i="7"/>
  <c r="CN232" i="7"/>
  <c r="CO232" i="7"/>
  <c r="CS232" i="7"/>
  <c r="BI242" i="7"/>
  <c r="AR196" i="7"/>
  <c r="AO196" i="7"/>
  <c r="AM196" i="7"/>
  <c r="AN196" i="7"/>
  <c r="AQ197" i="7"/>
  <c r="CC215" i="7"/>
  <c r="BZ215" i="7"/>
  <c r="CB216" i="7"/>
  <c r="BC244" i="7"/>
  <c r="BC245" i="7"/>
  <c r="BD245" i="7"/>
  <c r="BE245" i="7"/>
  <c r="BI245" i="7" s="1"/>
  <c r="AY250" i="7"/>
  <c r="AY251" i="7" s="1"/>
  <c r="AV249" i="7"/>
  <c r="AU249" i="7"/>
  <c r="AW249" i="7"/>
  <c r="AZ249" i="7"/>
  <c r="BG246" i="7"/>
  <c r="BG247" i="7" s="1"/>
  <c r="BE247" i="7" s="1"/>
  <c r="BE244" i="7"/>
  <c r="BD244" i="7"/>
  <c r="BH244" i="7"/>
  <c r="BQ179" i="7"/>
  <c r="BP179" i="7"/>
  <c r="BU179" i="7"/>
  <c r="BV179" i="7" s="1"/>
  <c r="AC179" i="7"/>
  <c r="BS180" i="7"/>
  <c r="Z180" i="7"/>
  <c r="Y180" i="7"/>
  <c r="AA181" i="7"/>
  <c r="AB180" i="7"/>
  <c r="X180" i="7"/>
  <c r="W180" i="7"/>
  <c r="F181" i="7"/>
  <c r="L180" i="7"/>
  <c r="DB228" i="7" l="1"/>
  <c r="CL258" i="7"/>
  <c r="DB229" i="7"/>
  <c r="BA249" i="7"/>
  <c r="CW230" i="7"/>
  <c r="CX230" i="7"/>
  <c r="DA230" i="7"/>
  <c r="CV230" i="7"/>
  <c r="CZ231" i="7"/>
  <c r="CZ232" i="7" s="1"/>
  <c r="BT182" i="7"/>
  <c r="BR181" i="7"/>
  <c r="CK259" i="7"/>
  <c r="CG259" i="7"/>
  <c r="CH259" i="7"/>
  <c r="CF259" i="7"/>
  <c r="CJ260" i="7"/>
  <c r="CJ261" i="7" s="1"/>
  <c r="CT232" i="7"/>
  <c r="BI244" i="7"/>
  <c r="CT233" i="7"/>
  <c r="CN234" i="7"/>
  <c r="CP234" i="7"/>
  <c r="CO234" i="7"/>
  <c r="CS234" i="7"/>
  <c r="AS196" i="7"/>
  <c r="CR235" i="7"/>
  <c r="CD215" i="7"/>
  <c r="BX216" i="7"/>
  <c r="BY216" i="7"/>
  <c r="AR197" i="7"/>
  <c r="AO197" i="7"/>
  <c r="AM197" i="7"/>
  <c r="AN197" i="7"/>
  <c r="AQ198" i="7"/>
  <c r="BZ216" i="7"/>
  <c r="CC216" i="7"/>
  <c r="CB217" i="7"/>
  <c r="AY252" i="7"/>
  <c r="AW251" i="7"/>
  <c r="AV251" i="7"/>
  <c r="AU251" i="7"/>
  <c r="AZ251" i="7"/>
  <c r="BH247" i="7"/>
  <c r="BI247" i="7" s="1"/>
  <c r="BC247" i="7"/>
  <c r="BG248" i="7"/>
  <c r="BG249" i="7" s="1"/>
  <c r="AV250" i="7"/>
  <c r="AU250" i="7"/>
  <c r="AZ250" i="7"/>
  <c r="AW250" i="7"/>
  <c r="BC246" i="7"/>
  <c r="BD247" i="7"/>
  <c r="BH246" i="7"/>
  <c r="BD246" i="7"/>
  <c r="BE246" i="7"/>
  <c r="BP180" i="7"/>
  <c r="BU180" i="7"/>
  <c r="BV180" i="7" s="1"/>
  <c r="BQ180" i="7"/>
  <c r="BS181" i="7"/>
  <c r="Z181" i="7"/>
  <c r="AC180" i="7"/>
  <c r="Y181" i="7"/>
  <c r="X181" i="7"/>
  <c r="AB181" i="7"/>
  <c r="W181" i="7"/>
  <c r="AA182" i="7"/>
  <c r="F182" i="7"/>
  <c r="L181" i="7"/>
  <c r="DB230" i="7" l="1"/>
  <c r="CL259" i="7"/>
  <c r="BA251" i="7"/>
  <c r="BT183" i="7"/>
  <c r="BR182" i="7"/>
  <c r="CX231" i="7"/>
  <c r="CW231" i="7"/>
  <c r="CV231" i="7"/>
  <c r="DA231" i="7"/>
  <c r="CZ233" i="7"/>
  <c r="CW232" i="7"/>
  <c r="CV232" i="7"/>
  <c r="DA232" i="7"/>
  <c r="CX232" i="7"/>
  <c r="AS197" i="7"/>
  <c r="CG261" i="7"/>
  <c r="CH261" i="7"/>
  <c r="CF261" i="7"/>
  <c r="CK261" i="7"/>
  <c r="CK260" i="7"/>
  <c r="CH260" i="7"/>
  <c r="CF260" i="7"/>
  <c r="CG260" i="7"/>
  <c r="CJ262" i="7"/>
  <c r="CJ263" i="7" s="1"/>
  <c r="CT234" i="7"/>
  <c r="CD216" i="7"/>
  <c r="CR236" i="7"/>
  <c r="CO235" i="7"/>
  <c r="CS235" i="7"/>
  <c r="CP235" i="7"/>
  <c r="CN235" i="7"/>
  <c r="BI246" i="7"/>
  <c r="BY217" i="7"/>
  <c r="BX217" i="7"/>
  <c r="BA250" i="7"/>
  <c r="AR198" i="7"/>
  <c r="AO198" i="7"/>
  <c r="AM198" i="7"/>
  <c r="AN198" i="7"/>
  <c r="AQ199" i="7"/>
  <c r="BZ217" i="7"/>
  <c r="CC217" i="7"/>
  <c r="CB218" i="7"/>
  <c r="BE248" i="7"/>
  <c r="BD248" i="7"/>
  <c r="BH248" i="7"/>
  <c r="BC248" i="7"/>
  <c r="AW252" i="7"/>
  <c r="AU252" i="7"/>
  <c r="AZ252" i="7"/>
  <c r="AV252" i="7"/>
  <c r="AY253" i="7"/>
  <c r="BS182" i="7"/>
  <c r="Z182" i="7"/>
  <c r="AC181" i="7"/>
  <c r="BG250" i="7"/>
  <c r="BU181" i="7"/>
  <c r="BV181" i="7" s="1"/>
  <c r="BQ181" i="7"/>
  <c r="BP181" i="7"/>
  <c r="BE249" i="7"/>
  <c r="BD249" i="7"/>
  <c r="BC249" i="7"/>
  <c r="BH249" i="7"/>
  <c r="X182" i="7"/>
  <c r="Y182" i="7"/>
  <c r="W182" i="7"/>
  <c r="AA183" i="7"/>
  <c r="AB182" i="7"/>
  <c r="F183" i="7"/>
  <c r="L182" i="7"/>
  <c r="DB231" i="7" l="1"/>
  <c r="CL261" i="7"/>
  <c r="DB232" i="7"/>
  <c r="DA233" i="7"/>
  <c r="CV233" i="7"/>
  <c r="CX233" i="7"/>
  <c r="CW233" i="7"/>
  <c r="BT184" i="7"/>
  <c r="BR183" i="7"/>
  <c r="CZ234" i="7"/>
  <c r="CD217" i="7"/>
  <c r="CT235" i="7"/>
  <c r="CL260" i="7"/>
  <c r="CF263" i="7"/>
  <c r="CK263" i="7"/>
  <c r="CG263" i="7"/>
  <c r="CH263" i="7"/>
  <c r="BA252" i="7"/>
  <c r="CF262" i="7"/>
  <c r="CG262" i="7"/>
  <c r="CH262" i="7"/>
  <c r="CK262" i="7"/>
  <c r="CL262" i="7" s="1"/>
  <c r="CJ264" i="7"/>
  <c r="BI248" i="7"/>
  <c r="CS236" i="7"/>
  <c r="CN236" i="7"/>
  <c r="CO236" i="7"/>
  <c r="CP236" i="7"/>
  <c r="AS198" i="7"/>
  <c r="BY218" i="7"/>
  <c r="BX218" i="7"/>
  <c r="CR237" i="7"/>
  <c r="BI249" i="7"/>
  <c r="AR199" i="7"/>
  <c r="AO199" i="7"/>
  <c r="AM199" i="7"/>
  <c r="AN199" i="7"/>
  <c r="AQ200" i="7"/>
  <c r="BZ218" i="7"/>
  <c r="CC218" i="7"/>
  <c r="CB219" i="7"/>
  <c r="AC182" i="7"/>
  <c r="AW253" i="7"/>
  <c r="AV253" i="7"/>
  <c r="AU253" i="7"/>
  <c r="AZ253" i="7"/>
  <c r="AY254" i="7"/>
  <c r="W183" i="7"/>
  <c r="Y183" i="7"/>
  <c r="AA184" i="7"/>
  <c r="X183" i="7"/>
  <c r="AB183" i="7"/>
  <c r="BS183" i="7"/>
  <c r="Z183" i="7"/>
  <c r="BQ182" i="7"/>
  <c r="BP182" i="7"/>
  <c r="BU182" i="7"/>
  <c r="BV182" i="7" s="1"/>
  <c r="BH250" i="7"/>
  <c r="BE250" i="7"/>
  <c r="BD250" i="7"/>
  <c r="BC250" i="7"/>
  <c r="BG251" i="7"/>
  <c r="F184" i="7"/>
  <c r="L183" i="7"/>
  <c r="DB233" i="7" l="1"/>
  <c r="DA234" i="7"/>
  <c r="CW234" i="7"/>
  <c r="CX234" i="7"/>
  <c r="CV234" i="7"/>
  <c r="BT185" i="7"/>
  <c r="BR184" i="7"/>
  <c r="CZ235" i="7"/>
  <c r="CZ236" i="7" s="1"/>
  <c r="BA253" i="7"/>
  <c r="AS199" i="7"/>
  <c r="CT236" i="7"/>
  <c r="CL263" i="7"/>
  <c r="CJ265" i="7"/>
  <c r="CK264" i="7"/>
  <c r="CF264" i="7"/>
  <c r="CG264" i="7"/>
  <c r="CH264" i="7"/>
  <c r="CD218" i="7"/>
  <c r="BY219" i="7"/>
  <c r="BX219" i="7"/>
  <c r="CR238" i="7"/>
  <c r="CR239" i="7" s="1"/>
  <c r="CO237" i="7"/>
  <c r="CP237" i="7"/>
  <c r="CS237" i="7"/>
  <c r="CN237" i="7"/>
  <c r="BI250" i="7"/>
  <c r="AR200" i="7"/>
  <c r="AO200" i="7"/>
  <c r="AM200" i="7"/>
  <c r="AN200" i="7"/>
  <c r="AQ201" i="7"/>
  <c r="CC219" i="7"/>
  <c r="BZ219" i="7"/>
  <c r="CB220" i="7"/>
  <c r="AU254" i="7"/>
  <c r="AZ254" i="7"/>
  <c r="AW254" i="7"/>
  <c r="AV254" i="7"/>
  <c r="AC183" i="7"/>
  <c r="AY255" i="7"/>
  <c r="BU183" i="7"/>
  <c r="BV183" i="7" s="1"/>
  <c r="BP183" i="7"/>
  <c r="BQ183" i="7"/>
  <c r="AB184" i="7"/>
  <c r="Y184" i="7"/>
  <c r="X184" i="7"/>
  <c r="W184" i="7"/>
  <c r="AA185" i="7"/>
  <c r="BE251" i="7"/>
  <c r="BD251" i="7"/>
  <c r="BC251" i="7"/>
  <c r="BH251" i="7"/>
  <c r="BS184" i="7"/>
  <c r="Z184" i="7"/>
  <c r="BG252" i="7"/>
  <c r="F185" i="7"/>
  <c r="L184" i="7"/>
  <c r="CV235" i="7" l="1"/>
  <c r="CW235" i="7"/>
  <c r="CX235" i="7"/>
  <c r="DA235" i="7"/>
  <c r="BT186" i="7"/>
  <c r="BR185" i="7"/>
  <c r="CV236" i="7"/>
  <c r="CW236" i="7"/>
  <c r="DA236" i="7"/>
  <c r="CX236" i="7"/>
  <c r="DB234" i="7"/>
  <c r="CZ237" i="7"/>
  <c r="BA254" i="7"/>
  <c r="CD219" i="7"/>
  <c r="CL264" i="7"/>
  <c r="CF265" i="7"/>
  <c r="CG265" i="7"/>
  <c r="CH265" i="7"/>
  <c r="CK265" i="7"/>
  <c r="CJ266" i="7"/>
  <c r="AS200" i="7"/>
  <c r="CT237" i="7"/>
  <c r="CR240" i="7"/>
  <c r="CR241" i="7" s="1"/>
  <c r="CO239" i="7"/>
  <c r="CP239" i="7"/>
  <c r="CS239" i="7"/>
  <c r="CN239" i="7"/>
  <c r="BY220" i="7"/>
  <c r="BX220" i="7"/>
  <c r="CO238" i="7"/>
  <c r="CN238" i="7"/>
  <c r="CS238" i="7"/>
  <c r="CP238" i="7"/>
  <c r="AR201" i="7"/>
  <c r="AO201" i="7"/>
  <c r="AM201" i="7"/>
  <c r="AN201" i="7"/>
  <c r="AQ202" i="7"/>
  <c r="CC220" i="7"/>
  <c r="BZ220" i="7"/>
  <c r="CB221" i="7"/>
  <c r="AW255" i="7"/>
  <c r="AV255" i="7"/>
  <c r="AU255" i="7"/>
  <c r="AZ255" i="7"/>
  <c r="AY256" i="7"/>
  <c r="AC184" i="7"/>
  <c r="W185" i="7"/>
  <c r="AA186" i="7"/>
  <c r="X185" i="7"/>
  <c r="AB185" i="7"/>
  <c r="Y185" i="7"/>
  <c r="BG253" i="7"/>
  <c r="BD252" i="7"/>
  <c r="BC252" i="7"/>
  <c r="BH252" i="7"/>
  <c r="BE252" i="7"/>
  <c r="BU184" i="7"/>
  <c r="BV184" i="7" s="1"/>
  <c r="BQ184" i="7"/>
  <c r="BP184" i="7"/>
  <c r="BI251" i="7"/>
  <c r="Z185" i="7"/>
  <c r="BS185" i="7"/>
  <c r="F186" i="7"/>
  <c r="L185" i="7"/>
  <c r="CL265" i="7" l="1"/>
  <c r="CT239" i="7"/>
  <c r="DB236" i="7"/>
  <c r="AS201" i="7"/>
  <c r="CD220" i="7"/>
  <c r="BT187" i="7"/>
  <c r="BR186" i="7"/>
  <c r="CZ238" i="7"/>
  <c r="CZ239" i="7" s="1"/>
  <c r="DA237" i="7"/>
  <c r="CX237" i="7"/>
  <c r="CV237" i="7"/>
  <c r="CW237" i="7"/>
  <c r="DB235" i="7"/>
  <c r="CJ267" i="7"/>
  <c r="CK266" i="7"/>
  <c r="CG266" i="7"/>
  <c r="CH266" i="7"/>
  <c r="CF266" i="7"/>
  <c r="BY221" i="7"/>
  <c r="BX221" i="7"/>
  <c r="CT238" i="7"/>
  <c r="BA255" i="7"/>
  <c r="CR242" i="7"/>
  <c r="CR243" i="7" s="1"/>
  <c r="CS241" i="7"/>
  <c r="CN241" i="7"/>
  <c r="CP241" i="7"/>
  <c r="CO241" i="7"/>
  <c r="BI252" i="7"/>
  <c r="CS240" i="7"/>
  <c r="CN240" i="7"/>
  <c r="CO240" i="7"/>
  <c r="CP240" i="7"/>
  <c r="AR202" i="7"/>
  <c r="AO202" i="7"/>
  <c r="AM202" i="7"/>
  <c r="AN202" i="7"/>
  <c r="AQ203" i="7"/>
  <c r="BZ221" i="7"/>
  <c r="CC221" i="7"/>
  <c r="CB222" i="7"/>
  <c r="AW256" i="7"/>
  <c r="AV256" i="7"/>
  <c r="AU256" i="7"/>
  <c r="AZ256" i="7"/>
  <c r="AY257" i="7"/>
  <c r="BU185" i="7"/>
  <c r="BV185" i="7" s="1"/>
  <c r="BP185" i="7"/>
  <c r="BQ185" i="7"/>
  <c r="BE253" i="7"/>
  <c r="BH253" i="7"/>
  <c r="BD253" i="7"/>
  <c r="BC253" i="7"/>
  <c r="AC185" i="7"/>
  <c r="AA187" i="7"/>
  <c r="AB186" i="7"/>
  <c r="W186" i="7"/>
  <c r="X186" i="7"/>
  <c r="Y186" i="7"/>
  <c r="BS186" i="7"/>
  <c r="Z186" i="7"/>
  <c r="BG254" i="7"/>
  <c r="F187" i="7"/>
  <c r="L186" i="7"/>
  <c r="DB237" i="7" l="1"/>
  <c r="CD221" i="7"/>
  <c r="BI253" i="7"/>
  <c r="CX239" i="7"/>
  <c r="CV239" i="7"/>
  <c r="CW239" i="7"/>
  <c r="DA239" i="7"/>
  <c r="DB239" i="7" s="1"/>
  <c r="CV238" i="7"/>
  <c r="CW238" i="7"/>
  <c r="CX238" i="7"/>
  <c r="DA238" i="7"/>
  <c r="CZ240" i="7"/>
  <c r="BR187" i="7"/>
  <c r="BT188" i="7"/>
  <c r="CL266" i="7"/>
  <c r="AS202" i="7"/>
  <c r="CT241" i="7"/>
  <c r="CH267" i="7"/>
  <c r="CF267" i="7"/>
  <c r="CK267" i="7"/>
  <c r="CG267" i="7"/>
  <c r="CJ268" i="7"/>
  <c r="CR244" i="7"/>
  <c r="CO243" i="7"/>
  <c r="CP243" i="7"/>
  <c r="CN243" i="7"/>
  <c r="CS243" i="7"/>
  <c r="BA256" i="7"/>
  <c r="CT240" i="7"/>
  <c r="CN242" i="7"/>
  <c r="CP242" i="7"/>
  <c r="CS242" i="7"/>
  <c r="CO242" i="7"/>
  <c r="BY222" i="7"/>
  <c r="BX222" i="7"/>
  <c r="AR203" i="7"/>
  <c r="AO203" i="7"/>
  <c r="AM203" i="7"/>
  <c r="AN203" i="7"/>
  <c r="AQ204" i="7"/>
  <c r="BZ222" i="7"/>
  <c r="CC222" i="7"/>
  <c r="CB223" i="7"/>
  <c r="AW257" i="7"/>
  <c r="AV257" i="7"/>
  <c r="AU257" i="7"/>
  <c r="AZ257" i="7"/>
  <c r="AY258" i="7"/>
  <c r="BU186" i="7"/>
  <c r="BV186" i="7" s="1"/>
  <c r="BQ186" i="7"/>
  <c r="BP186" i="7"/>
  <c r="BG255" i="7"/>
  <c r="BG256" i="7" s="1"/>
  <c r="BG257" i="7" s="1"/>
  <c r="BH254" i="7"/>
  <c r="BE254" i="7"/>
  <c r="BD254" i="7"/>
  <c r="BC254" i="7"/>
  <c r="W187" i="7"/>
  <c r="X187" i="7"/>
  <c r="Y187" i="7"/>
  <c r="AA188" i="7"/>
  <c r="AB187" i="7"/>
  <c r="AC186" i="7"/>
  <c r="Z187" i="7"/>
  <c r="BS187" i="7"/>
  <c r="F188" i="7"/>
  <c r="L187" i="7"/>
  <c r="DB238" i="7" l="1"/>
  <c r="CT242" i="7"/>
  <c r="CD222" i="7"/>
  <c r="BT189" i="7"/>
  <c r="BR188" i="7"/>
  <c r="CL267" i="7"/>
  <c r="CZ241" i="7"/>
  <c r="CV240" i="7"/>
  <c r="CW240" i="7"/>
  <c r="CX240" i="7"/>
  <c r="DA240" i="7"/>
  <c r="BA257" i="7"/>
  <c r="AS203" i="7"/>
  <c r="CT243" i="7"/>
  <c r="CG268" i="7"/>
  <c r="CH268" i="7"/>
  <c r="CK268" i="7"/>
  <c r="CF268" i="7"/>
  <c r="CJ269" i="7"/>
  <c r="BX223" i="7"/>
  <c r="BY223" i="7"/>
  <c r="BI254" i="7"/>
  <c r="CN244" i="7"/>
  <c r="CO244" i="7"/>
  <c r="CP244" i="7"/>
  <c r="CS244" i="7"/>
  <c r="CR245" i="7"/>
  <c r="AR204" i="7"/>
  <c r="AO204" i="7"/>
  <c r="AM204" i="7"/>
  <c r="AN204" i="7"/>
  <c r="AQ205" i="7"/>
  <c r="BZ223" i="7"/>
  <c r="CC223" i="7"/>
  <c r="CB224" i="7"/>
  <c r="AY259" i="7"/>
  <c r="AZ258" i="7"/>
  <c r="AU258" i="7"/>
  <c r="AW258" i="7"/>
  <c r="AV258" i="7"/>
  <c r="AC187" i="7"/>
  <c r="BH257" i="7"/>
  <c r="BE257" i="7"/>
  <c r="BD257" i="7"/>
  <c r="BC257" i="7"/>
  <c r="Y188" i="7"/>
  <c r="X188" i="7"/>
  <c r="AB188" i="7"/>
  <c r="AA189" i="7"/>
  <c r="W188" i="7"/>
  <c r="BH255" i="7"/>
  <c r="BE255" i="7"/>
  <c r="BD255" i="7"/>
  <c r="BC255" i="7"/>
  <c r="BS188" i="7"/>
  <c r="Z188" i="7"/>
  <c r="BP187" i="7"/>
  <c r="BU187" i="7"/>
  <c r="BV187" i="7" s="1"/>
  <c r="BQ187" i="7"/>
  <c r="BH256" i="7"/>
  <c r="BE256" i="7"/>
  <c r="BD256" i="7"/>
  <c r="BC256" i="7"/>
  <c r="BG258" i="7"/>
  <c r="F189" i="7"/>
  <c r="L188" i="7"/>
  <c r="DB240" i="7" l="1"/>
  <c r="CL268" i="7"/>
  <c r="CX241" i="7"/>
  <c r="CV241" i="7"/>
  <c r="DA241" i="7"/>
  <c r="DB241" i="7" s="1"/>
  <c r="CW241" i="7"/>
  <c r="CZ242" i="7"/>
  <c r="CZ243" i="7" s="1"/>
  <c r="BT190" i="7"/>
  <c r="BR189" i="7"/>
  <c r="CD223" i="7"/>
  <c r="BI255" i="7"/>
  <c r="CT244" i="7"/>
  <c r="CH269" i="7"/>
  <c r="CF269" i="7"/>
  <c r="CG269" i="7"/>
  <c r="CK269" i="7"/>
  <c r="CJ270" i="7"/>
  <c r="AS204" i="7"/>
  <c r="CR246" i="7"/>
  <c r="CR247" i="7" s="1"/>
  <c r="CO245" i="7"/>
  <c r="CS245" i="7"/>
  <c r="CN245" i="7"/>
  <c r="CP245" i="7"/>
  <c r="BX224" i="7"/>
  <c r="BY224" i="7"/>
  <c r="BI256" i="7"/>
  <c r="BI257" i="7"/>
  <c r="AR205" i="7"/>
  <c r="AO205" i="7"/>
  <c r="AM205" i="7"/>
  <c r="AN205" i="7"/>
  <c r="AQ206" i="7"/>
  <c r="CC224" i="7"/>
  <c r="BZ224" i="7"/>
  <c r="CB225" i="7"/>
  <c r="AC188" i="7"/>
  <c r="BA258" i="7"/>
  <c r="AZ259" i="7"/>
  <c r="AW259" i="7"/>
  <c r="AV259" i="7"/>
  <c r="AU259" i="7"/>
  <c r="AY260" i="7"/>
  <c r="BU188" i="7"/>
  <c r="BV188" i="7" s="1"/>
  <c r="BP188" i="7"/>
  <c r="BQ188" i="7"/>
  <c r="AA190" i="7"/>
  <c r="AB189" i="7"/>
  <c r="Y189" i="7"/>
  <c r="X189" i="7"/>
  <c r="W189" i="7"/>
  <c r="BD258" i="7"/>
  <c r="BC258" i="7"/>
  <c r="BH258" i="7"/>
  <c r="BE258" i="7"/>
  <c r="Z189" i="7"/>
  <c r="BS189" i="7"/>
  <c r="BG259" i="7"/>
  <c r="F190" i="7"/>
  <c r="L189" i="7"/>
  <c r="CL269" i="7" l="1"/>
  <c r="CZ244" i="7"/>
  <c r="CZ245" i="7" s="1"/>
  <c r="DA243" i="7"/>
  <c r="CV243" i="7"/>
  <c r="CX243" i="7"/>
  <c r="CW243" i="7"/>
  <c r="BT191" i="7"/>
  <c r="BR190" i="7"/>
  <c r="CV242" i="7"/>
  <c r="CX242" i="7"/>
  <c r="DA242" i="7"/>
  <c r="CW242" i="7"/>
  <c r="BI258" i="7"/>
  <c r="BA259" i="7"/>
  <c r="CK270" i="7"/>
  <c r="CF270" i="7"/>
  <c r="CH270" i="7"/>
  <c r="CG270" i="7"/>
  <c r="CJ271" i="7"/>
  <c r="AS205" i="7"/>
  <c r="CT245" i="7"/>
  <c r="CR248" i="7"/>
  <c r="CR249" i="7" s="1"/>
  <c r="CO247" i="7"/>
  <c r="CS247" i="7"/>
  <c r="CP247" i="7"/>
  <c r="CN247" i="7"/>
  <c r="CN246" i="7"/>
  <c r="CO246" i="7"/>
  <c r="CP246" i="7"/>
  <c r="CS246" i="7"/>
  <c r="BX225" i="7"/>
  <c r="BY225" i="7"/>
  <c r="CD224" i="7"/>
  <c r="AR206" i="7"/>
  <c r="AO206" i="7"/>
  <c r="AM206" i="7"/>
  <c r="AN206" i="7"/>
  <c r="AQ207" i="7"/>
  <c r="CC225" i="7"/>
  <c r="BZ225" i="7"/>
  <c r="CB226" i="7"/>
  <c r="AW260" i="7"/>
  <c r="AV260" i="7"/>
  <c r="AU260" i="7"/>
  <c r="AZ260" i="7"/>
  <c r="AY261" i="7"/>
  <c r="BS190" i="7"/>
  <c r="Z190" i="7"/>
  <c r="BU189" i="7"/>
  <c r="BV189" i="7" s="1"/>
  <c r="BP189" i="7"/>
  <c r="BQ189" i="7"/>
  <c r="AB190" i="7"/>
  <c r="W190" i="7"/>
  <c r="Y190" i="7"/>
  <c r="X190" i="7"/>
  <c r="AA191" i="7"/>
  <c r="BE259" i="7"/>
  <c r="BH259" i="7"/>
  <c r="BD259" i="7"/>
  <c r="BC259" i="7"/>
  <c r="BG260" i="7"/>
  <c r="BG261" i="7" s="1"/>
  <c r="AC189" i="7"/>
  <c r="F191" i="7"/>
  <c r="L190" i="7"/>
  <c r="CL270" i="7" l="1"/>
  <c r="DB243" i="7"/>
  <c r="CT246" i="7"/>
  <c r="DB242" i="7"/>
  <c r="BT192" i="7"/>
  <c r="BR191" i="7"/>
  <c r="CZ246" i="7"/>
  <c r="DA245" i="7"/>
  <c r="CX245" i="7"/>
  <c r="CV245" i="7"/>
  <c r="CW245" i="7"/>
  <c r="BA260" i="7"/>
  <c r="DA244" i="7"/>
  <c r="CW244" i="7"/>
  <c r="CX244" i="7"/>
  <c r="CV244" i="7"/>
  <c r="CG271" i="7"/>
  <c r="CF271" i="7"/>
  <c r="CH271" i="7"/>
  <c r="CK271" i="7"/>
  <c r="CJ272" i="7"/>
  <c r="AS206" i="7"/>
  <c r="CR250" i="7"/>
  <c r="CR251" i="7" s="1"/>
  <c r="CP249" i="7"/>
  <c r="CO249" i="7"/>
  <c r="CS249" i="7"/>
  <c r="CN249" i="7"/>
  <c r="BX226" i="7"/>
  <c r="BY226" i="7"/>
  <c r="CD225" i="7"/>
  <c r="CT247" i="7"/>
  <c r="CS248" i="7"/>
  <c r="CN248" i="7"/>
  <c r="CO248" i="7"/>
  <c r="CP248" i="7"/>
  <c r="BI259" i="7"/>
  <c r="AR207" i="7"/>
  <c r="AO207" i="7"/>
  <c r="AM207" i="7"/>
  <c r="AN207" i="7"/>
  <c r="AQ208" i="7"/>
  <c r="BZ226" i="7"/>
  <c r="CC226" i="7"/>
  <c r="CB227" i="7"/>
  <c r="AZ261" i="7"/>
  <c r="AW261" i="7"/>
  <c r="AV261" i="7"/>
  <c r="AU261" i="7"/>
  <c r="AY262" i="7"/>
  <c r="AC190" i="7"/>
  <c r="BQ190" i="7"/>
  <c r="BP190" i="7"/>
  <c r="BU190" i="7"/>
  <c r="BV190" i="7" s="1"/>
  <c r="BS191" i="7"/>
  <c r="Z191" i="7"/>
  <c r="BE261" i="7"/>
  <c r="BD261" i="7"/>
  <c r="BH261" i="7"/>
  <c r="BC261" i="7"/>
  <c r="W191" i="7"/>
  <c r="X191" i="7"/>
  <c r="AA192" i="7"/>
  <c r="AB191" i="7"/>
  <c r="Y191" i="7"/>
  <c r="BG262" i="7"/>
  <c r="BH260" i="7"/>
  <c r="BD260" i="7"/>
  <c r="BE260" i="7"/>
  <c r="BC260" i="7"/>
  <c r="F192" i="7"/>
  <c r="L191" i="7"/>
  <c r="DB245" i="7" l="1"/>
  <c r="CL271" i="7"/>
  <c r="DB244" i="7"/>
  <c r="CD226" i="7"/>
  <c r="CZ247" i="7"/>
  <c r="CZ248" i="7" s="1"/>
  <c r="CW246" i="7"/>
  <c r="CV246" i="7"/>
  <c r="DA246" i="7"/>
  <c r="CX246" i="7"/>
  <c r="CT249" i="7"/>
  <c r="BT193" i="7"/>
  <c r="BR192" i="7"/>
  <c r="CT248" i="7"/>
  <c r="CJ273" i="7"/>
  <c r="CJ274" i="7" s="1"/>
  <c r="CF272" i="7"/>
  <c r="CG272" i="7"/>
  <c r="CK272" i="7"/>
  <c r="CH272" i="7"/>
  <c r="BA261" i="7"/>
  <c r="BI261" i="7"/>
  <c r="CR252" i="7"/>
  <c r="CS251" i="7"/>
  <c r="CP251" i="7"/>
  <c r="CN251" i="7"/>
  <c r="CO251" i="7"/>
  <c r="BX227" i="7"/>
  <c r="BY227" i="7"/>
  <c r="AS207" i="7"/>
  <c r="CP250" i="7"/>
  <c r="CN250" i="7"/>
  <c r="CO250" i="7"/>
  <c r="CS250" i="7"/>
  <c r="AR208" i="7"/>
  <c r="AO208" i="7"/>
  <c r="AM208" i="7"/>
  <c r="AN208" i="7"/>
  <c r="AQ209" i="7"/>
  <c r="CC227" i="7"/>
  <c r="BZ227" i="7"/>
  <c r="CB228" i="7"/>
  <c r="AZ262" i="7"/>
  <c r="AV262" i="7"/>
  <c r="AU262" i="7"/>
  <c r="AW262" i="7"/>
  <c r="AY263" i="7"/>
  <c r="AA193" i="7"/>
  <c r="Y192" i="7"/>
  <c r="AB192" i="7"/>
  <c r="X192" i="7"/>
  <c r="W192" i="7"/>
  <c r="BU191" i="7"/>
  <c r="BV191" i="7" s="1"/>
  <c r="BP191" i="7"/>
  <c r="BQ191" i="7"/>
  <c r="BI260" i="7"/>
  <c r="BG263" i="7"/>
  <c r="BG264" i="7" s="1"/>
  <c r="BE262" i="7"/>
  <c r="BD262" i="7"/>
  <c r="BC262" i="7"/>
  <c r="BH262" i="7"/>
  <c r="AC191" i="7"/>
  <c r="BS192" i="7"/>
  <c r="Z192" i="7"/>
  <c r="F193" i="7"/>
  <c r="L192" i="7"/>
  <c r="DB246" i="7" l="1"/>
  <c r="CT250" i="7"/>
  <c r="CD227" i="7"/>
  <c r="CZ249" i="7"/>
  <c r="CW248" i="7"/>
  <c r="CV248" i="7"/>
  <c r="CX248" i="7"/>
  <c r="DA248" i="7"/>
  <c r="BT194" i="7"/>
  <c r="BR193" i="7"/>
  <c r="CV247" i="7"/>
  <c r="CW247" i="7"/>
  <c r="CX247" i="7"/>
  <c r="DA247" i="7"/>
  <c r="CL272" i="7"/>
  <c r="CJ275" i="7"/>
  <c r="CJ276" i="7" s="1"/>
  <c r="CG274" i="7"/>
  <c r="CK274" i="7"/>
  <c r="CH274" i="7"/>
  <c r="CF274" i="7"/>
  <c r="CF273" i="7"/>
  <c r="CK273" i="7"/>
  <c r="CH273" i="7"/>
  <c r="CG273" i="7"/>
  <c r="CT251" i="7"/>
  <c r="CP252" i="7"/>
  <c r="CS252" i="7"/>
  <c r="CN252" i="7"/>
  <c r="CO252" i="7"/>
  <c r="AS208" i="7"/>
  <c r="BX228" i="7"/>
  <c r="BY228" i="7"/>
  <c r="CR253" i="7"/>
  <c r="AR209" i="7"/>
  <c r="AO209" i="7"/>
  <c r="AM209" i="7"/>
  <c r="AN209" i="7"/>
  <c r="AQ210" i="7"/>
  <c r="BZ228" i="7"/>
  <c r="CC228" i="7"/>
  <c r="CB229" i="7"/>
  <c r="AV263" i="7"/>
  <c r="AZ263" i="7"/>
  <c r="AU263" i="7"/>
  <c r="AW263" i="7"/>
  <c r="AY264" i="7"/>
  <c r="AC192" i="7"/>
  <c r="BG265" i="7"/>
  <c r="BH265" i="7" s="1"/>
  <c r="BA262" i="7"/>
  <c r="BC264" i="7"/>
  <c r="BH264" i="7"/>
  <c r="BE264" i="7"/>
  <c r="BD264" i="7"/>
  <c r="BU192" i="7"/>
  <c r="BV192" i="7" s="1"/>
  <c r="BQ192" i="7"/>
  <c r="BP192" i="7"/>
  <c r="BS193" i="7"/>
  <c r="Z193" i="7"/>
  <c r="BI262" i="7"/>
  <c r="AB193" i="7"/>
  <c r="AA194" i="7"/>
  <c r="X193" i="7"/>
  <c r="W193" i="7"/>
  <c r="Y193" i="7"/>
  <c r="BH263" i="7"/>
  <c r="BE263" i="7"/>
  <c r="BC263" i="7"/>
  <c r="BD263" i="7"/>
  <c r="F194" i="7"/>
  <c r="L193" i="7"/>
  <c r="DB248" i="7" l="1"/>
  <c r="CZ250" i="7"/>
  <c r="CZ251" i="7" s="1"/>
  <c r="DB247" i="7"/>
  <c r="CL273" i="7"/>
  <c r="BA263" i="7"/>
  <c r="CD228" i="7"/>
  <c r="BT195" i="7"/>
  <c r="BR194" i="7"/>
  <c r="AS209" i="7"/>
  <c r="CX249" i="7"/>
  <c r="DA249" i="7"/>
  <c r="CW249" i="7"/>
  <c r="CV249" i="7"/>
  <c r="CF276" i="7"/>
  <c r="CH276" i="7"/>
  <c r="CK276" i="7"/>
  <c r="CG276" i="7"/>
  <c r="CL274" i="7"/>
  <c r="CT252" i="7"/>
  <c r="CJ277" i="7"/>
  <c r="CF275" i="7"/>
  <c r="CH275" i="7"/>
  <c r="CK275" i="7"/>
  <c r="CG275" i="7"/>
  <c r="BG266" i="7"/>
  <c r="BG267" i="7" s="1"/>
  <c r="CR254" i="7"/>
  <c r="CR255" i="7" s="1"/>
  <c r="CN253" i="7"/>
  <c r="CO253" i="7"/>
  <c r="CP253" i="7"/>
  <c r="CS253" i="7"/>
  <c r="BI264" i="7"/>
  <c r="BY229" i="7"/>
  <c r="BX229" i="7"/>
  <c r="AR210" i="7"/>
  <c r="AO210" i="7"/>
  <c r="AM210" i="7"/>
  <c r="AN210" i="7"/>
  <c r="AQ211" i="7"/>
  <c r="BZ229" i="7"/>
  <c r="CC229" i="7"/>
  <c r="CB230" i="7"/>
  <c r="AW264" i="7"/>
  <c r="AU264" i="7"/>
  <c r="AV264" i="7"/>
  <c r="AZ264" i="7"/>
  <c r="AY265" i="7"/>
  <c r="BC265" i="7"/>
  <c r="BD265" i="7"/>
  <c r="BE265" i="7"/>
  <c r="BI265" i="7" s="1"/>
  <c r="AB194" i="7"/>
  <c r="AA195" i="7"/>
  <c r="Y194" i="7"/>
  <c r="X194" i="7"/>
  <c r="W194" i="7"/>
  <c r="BS194" i="7"/>
  <c r="Z194" i="7"/>
  <c r="BI263" i="7"/>
  <c r="AC193" i="7"/>
  <c r="BU193" i="7"/>
  <c r="BV193" i="7" s="1"/>
  <c r="BQ193" i="7"/>
  <c r="BP193" i="7"/>
  <c r="F195" i="7"/>
  <c r="L194" i="7"/>
  <c r="CT253" i="7" l="1"/>
  <c r="BA264" i="7"/>
  <c r="CL275" i="7"/>
  <c r="CW250" i="7"/>
  <c r="DB249" i="7"/>
  <c r="CV251" i="7"/>
  <c r="CZ252" i="7"/>
  <c r="CZ253" i="7" s="1"/>
  <c r="DA253" i="7" s="1"/>
  <c r="CX251" i="7"/>
  <c r="DA251" i="7"/>
  <c r="CW251" i="7"/>
  <c r="CX250" i="7"/>
  <c r="DA250" i="7"/>
  <c r="CV250" i="7"/>
  <c r="CD229" i="7"/>
  <c r="BT196" i="7"/>
  <c r="BR195" i="7"/>
  <c r="CL276" i="7"/>
  <c r="BC266" i="7"/>
  <c r="BE266" i="7"/>
  <c r="BD266" i="7"/>
  <c r="BG268" i="7"/>
  <c r="BG269" i="7" s="1"/>
  <c r="BH266" i="7"/>
  <c r="CK277" i="7"/>
  <c r="CG277" i="7"/>
  <c r="CH277" i="7"/>
  <c r="CF277" i="7"/>
  <c r="AS210" i="7"/>
  <c r="CJ278" i="7"/>
  <c r="CR256" i="7"/>
  <c r="CN255" i="7"/>
  <c r="CO255" i="7"/>
  <c r="CP255" i="7"/>
  <c r="CS255" i="7"/>
  <c r="BY230" i="7"/>
  <c r="BX230" i="7"/>
  <c r="CP254" i="7"/>
  <c r="CS254" i="7"/>
  <c r="CO254" i="7"/>
  <c r="CN254" i="7"/>
  <c r="AR211" i="7"/>
  <c r="AO211" i="7"/>
  <c r="AM211" i="7"/>
  <c r="AN211" i="7"/>
  <c r="AQ212" i="7"/>
  <c r="CC230" i="7"/>
  <c r="BZ230" i="7"/>
  <c r="CB231" i="7"/>
  <c r="AW265" i="7"/>
  <c r="AU265" i="7"/>
  <c r="AV265" i="7"/>
  <c r="AZ265" i="7"/>
  <c r="AY266" i="7"/>
  <c r="BU194" i="7"/>
  <c r="BV194" i="7" s="1"/>
  <c r="BQ194" i="7"/>
  <c r="BP194" i="7"/>
  <c r="W195" i="7"/>
  <c r="Y195" i="7"/>
  <c r="X195" i="7"/>
  <c r="AB195" i="7"/>
  <c r="AA196" i="7"/>
  <c r="BS195" i="7"/>
  <c r="Z195" i="7"/>
  <c r="AC194" i="7"/>
  <c r="BC267" i="7"/>
  <c r="BE267" i="7"/>
  <c r="BH267" i="7"/>
  <c r="BD267" i="7"/>
  <c r="F196" i="7"/>
  <c r="L195" i="7"/>
  <c r="CT254" i="7" l="1"/>
  <c r="CL277" i="7"/>
  <c r="DB250" i="7"/>
  <c r="CX253" i="7"/>
  <c r="DB253" i="7" s="1"/>
  <c r="CZ254" i="7"/>
  <c r="CW254" i="7" s="1"/>
  <c r="CW253" i="7"/>
  <c r="CW252" i="7"/>
  <c r="CD230" i="7"/>
  <c r="BI266" i="7"/>
  <c r="CV252" i="7"/>
  <c r="CX252" i="7"/>
  <c r="DB251" i="7"/>
  <c r="CV253" i="7"/>
  <c r="DA252" i="7"/>
  <c r="BT197" i="7"/>
  <c r="BR196" i="7"/>
  <c r="BC268" i="7"/>
  <c r="BE269" i="7"/>
  <c r="BH269" i="7"/>
  <c r="BD269" i="7"/>
  <c r="BC269" i="7"/>
  <c r="BD268" i="7"/>
  <c r="BE268" i="7"/>
  <c r="BH268" i="7"/>
  <c r="BG270" i="7"/>
  <c r="BG271" i="7" s="1"/>
  <c r="BE271" i="7" s="1"/>
  <c r="BA265" i="7"/>
  <c r="CT255" i="7"/>
  <c r="CG278" i="7"/>
  <c r="CK278" i="7"/>
  <c r="CF278" i="7"/>
  <c r="CH278" i="7"/>
  <c r="AS211" i="7"/>
  <c r="BY231" i="7"/>
  <c r="BX231" i="7"/>
  <c r="CN256" i="7"/>
  <c r="CO256" i="7"/>
  <c r="CP256" i="7"/>
  <c r="CS256" i="7"/>
  <c r="AC195" i="7"/>
  <c r="BI267" i="7"/>
  <c r="CR257" i="7"/>
  <c r="AR212" i="7"/>
  <c r="AO212" i="7"/>
  <c r="AM212" i="7"/>
  <c r="AN212" i="7"/>
  <c r="AQ213" i="7"/>
  <c r="CC231" i="7"/>
  <c r="BZ231" i="7"/>
  <c r="CB232" i="7"/>
  <c r="AZ266" i="7"/>
  <c r="AW266" i="7"/>
  <c r="AV266" i="7"/>
  <c r="AU266" i="7"/>
  <c r="AY267" i="7"/>
  <c r="AA197" i="7"/>
  <c r="Y196" i="7"/>
  <c r="X196" i="7"/>
  <c r="W196" i="7"/>
  <c r="AB196" i="7"/>
  <c r="BU195" i="7"/>
  <c r="BV195" i="7" s="1"/>
  <c r="BP195" i="7"/>
  <c r="BQ195" i="7"/>
  <c r="BS196" i="7"/>
  <c r="Z196" i="7"/>
  <c r="F197" i="7"/>
  <c r="L196" i="7"/>
  <c r="BI268" i="7" l="1"/>
  <c r="CX254" i="7"/>
  <c r="BI269" i="7"/>
  <c r="DA254" i="7"/>
  <c r="DB254" i="7" s="1"/>
  <c r="DB252" i="7"/>
  <c r="CV254" i="7"/>
  <c r="CZ255" i="7"/>
  <c r="BT198" i="7"/>
  <c r="BR197" i="7"/>
  <c r="BH270" i="7"/>
  <c r="BC270" i="7"/>
  <c r="BC271" i="7"/>
  <c r="BH271" i="7"/>
  <c r="BI271" i="7" s="1"/>
  <c r="BG272" i="7"/>
  <c r="BH272" i="7" s="1"/>
  <c r="BD271" i="7"/>
  <c r="CL278" i="7"/>
  <c r="BE270" i="7"/>
  <c r="BD270" i="7"/>
  <c r="CD231" i="7"/>
  <c r="BA266" i="7"/>
  <c r="CT256" i="7"/>
  <c r="AS212" i="7"/>
  <c r="BY232" i="7"/>
  <c r="BX232" i="7"/>
  <c r="CR258" i="7"/>
  <c r="CO257" i="7"/>
  <c r="CP257" i="7"/>
  <c r="CS257" i="7"/>
  <c r="CN257" i="7"/>
  <c r="AR213" i="7"/>
  <c r="AO213" i="7"/>
  <c r="AM213" i="7"/>
  <c r="AN213" i="7"/>
  <c r="AQ214" i="7"/>
  <c r="CC232" i="7"/>
  <c r="BZ232" i="7"/>
  <c r="CB233" i="7"/>
  <c r="AV267" i="7"/>
  <c r="AW267" i="7"/>
  <c r="AZ267" i="7"/>
  <c r="AU267" i="7"/>
  <c r="AY268" i="7"/>
  <c r="Z197" i="7"/>
  <c r="BS197" i="7"/>
  <c r="AA198" i="7"/>
  <c r="W197" i="7"/>
  <c r="Y197" i="7"/>
  <c r="X197" i="7"/>
  <c r="AB197" i="7"/>
  <c r="BP196" i="7"/>
  <c r="BU196" i="7"/>
  <c r="BV196" i="7" s="1"/>
  <c r="BQ196" i="7"/>
  <c r="AC196" i="7"/>
  <c r="F198" i="7"/>
  <c r="L197" i="7"/>
  <c r="BA267" i="7" l="1"/>
  <c r="CT257" i="7"/>
  <c r="CZ256" i="7"/>
  <c r="DA255" i="7"/>
  <c r="CW255" i="7"/>
  <c r="CX255" i="7"/>
  <c r="CV255" i="7"/>
  <c r="BI270" i="7"/>
  <c r="BR198" i="7"/>
  <c r="BT199" i="7"/>
  <c r="BG273" i="7"/>
  <c r="BD273" i="7" s="1"/>
  <c r="BD272" i="7"/>
  <c r="BC272" i="7"/>
  <c r="BE272" i="7"/>
  <c r="BI272" i="7" s="1"/>
  <c r="CO258" i="7"/>
  <c r="CP258" i="7"/>
  <c r="CS258" i="7"/>
  <c r="CN258" i="7"/>
  <c r="BY233" i="7"/>
  <c r="BX233" i="7"/>
  <c r="CD232" i="7"/>
  <c r="CR259" i="7"/>
  <c r="AS213" i="7"/>
  <c r="AR214" i="7"/>
  <c r="AO214" i="7"/>
  <c r="AM214" i="7"/>
  <c r="AN214" i="7"/>
  <c r="AQ215" i="7"/>
  <c r="CC233" i="7"/>
  <c r="BZ233" i="7"/>
  <c r="CB234" i="7"/>
  <c r="AZ268" i="7"/>
  <c r="AU268" i="7"/>
  <c r="AW268" i="7"/>
  <c r="AV268" i="7"/>
  <c r="AY269" i="7"/>
  <c r="BQ197" i="7"/>
  <c r="BU197" i="7"/>
  <c r="BV197" i="7" s="1"/>
  <c r="BP197" i="7"/>
  <c r="BS198" i="7"/>
  <c r="Z198" i="7"/>
  <c r="W198" i="7"/>
  <c r="AB198" i="7"/>
  <c r="AA199" i="7"/>
  <c r="Y198" i="7"/>
  <c r="X198" i="7"/>
  <c r="AC197" i="7"/>
  <c r="F199" i="7"/>
  <c r="L198" i="7"/>
  <c r="DB255" i="7" l="1"/>
  <c r="BG274" i="7"/>
  <c r="BG275" i="7" s="1"/>
  <c r="BC275" i="7" s="1"/>
  <c r="DA256" i="7"/>
  <c r="CW256" i="7"/>
  <c r="CV256" i="7"/>
  <c r="CX256" i="7"/>
  <c r="CZ257" i="7"/>
  <c r="CT258" i="7"/>
  <c r="BT200" i="7"/>
  <c r="BR199" i="7"/>
  <c r="BC273" i="7"/>
  <c r="BH273" i="7"/>
  <c r="BE273" i="7"/>
  <c r="BA268" i="7"/>
  <c r="AS214" i="7"/>
  <c r="CD233" i="7"/>
  <c r="BY234" i="7"/>
  <c r="BX234" i="7"/>
  <c r="CR260" i="7"/>
  <c r="CS259" i="7"/>
  <c r="CO259" i="7"/>
  <c r="CP259" i="7"/>
  <c r="CN259" i="7"/>
  <c r="AR215" i="7"/>
  <c r="AO215" i="7"/>
  <c r="AM215" i="7"/>
  <c r="AN215" i="7"/>
  <c r="AQ216" i="7"/>
  <c r="CC234" i="7"/>
  <c r="BZ234" i="7"/>
  <c r="CB235" i="7"/>
  <c r="AZ269" i="7"/>
  <c r="AW269" i="7"/>
  <c r="AV269" i="7"/>
  <c r="AU269" i="7"/>
  <c r="AY270" i="7"/>
  <c r="BU198" i="7"/>
  <c r="BV198" i="7" s="1"/>
  <c r="BQ198" i="7"/>
  <c r="BP198" i="7"/>
  <c r="X199" i="7"/>
  <c r="AB199" i="7"/>
  <c r="Y199" i="7"/>
  <c r="W199" i="7"/>
  <c r="AA200" i="7"/>
  <c r="Z199" i="7"/>
  <c r="BS199" i="7"/>
  <c r="AC198" i="7"/>
  <c r="F200" i="7"/>
  <c r="L199" i="7"/>
  <c r="DB256" i="7" l="1"/>
  <c r="CD234" i="7"/>
  <c r="BH274" i="7"/>
  <c r="BE274" i="7"/>
  <c r="BG276" i="7"/>
  <c r="BH276" i="7" s="1"/>
  <c r="BD274" i="7"/>
  <c r="BC274" i="7"/>
  <c r="BD275" i="7"/>
  <c r="DA257" i="7"/>
  <c r="CX257" i="7"/>
  <c r="CV257" i="7"/>
  <c r="CW257" i="7"/>
  <c r="BA269" i="7"/>
  <c r="BE275" i="7"/>
  <c r="BH275" i="7"/>
  <c r="CZ258" i="7"/>
  <c r="BI274" i="7"/>
  <c r="BI273" i="7"/>
  <c r="BT201" i="7"/>
  <c r="BR200" i="7"/>
  <c r="CT259" i="7"/>
  <c r="CS260" i="7"/>
  <c r="CP260" i="7"/>
  <c r="CN260" i="7"/>
  <c r="CO260" i="7"/>
  <c r="BX235" i="7"/>
  <c r="BY235" i="7"/>
  <c r="CR261" i="7"/>
  <c r="AS215" i="7"/>
  <c r="AR216" i="7"/>
  <c r="AO216" i="7"/>
  <c r="AM216" i="7"/>
  <c r="AN216" i="7"/>
  <c r="AQ217" i="7"/>
  <c r="BZ235" i="7"/>
  <c r="CC235" i="7"/>
  <c r="CB236" i="7"/>
  <c r="AW270" i="7"/>
  <c r="AZ270" i="7"/>
  <c r="AV270" i="7"/>
  <c r="AU270" i="7"/>
  <c r="AY271" i="7"/>
  <c r="X200" i="7"/>
  <c r="W200" i="7"/>
  <c r="AA201" i="7"/>
  <c r="AB200" i="7"/>
  <c r="Y200" i="7"/>
  <c r="BS200" i="7"/>
  <c r="Z200" i="7"/>
  <c r="BQ199" i="7"/>
  <c r="BP199" i="7"/>
  <c r="BU199" i="7"/>
  <c r="BV199" i="7" s="1"/>
  <c r="AC199" i="7"/>
  <c r="F201" i="7"/>
  <c r="L200" i="7"/>
  <c r="DB257" i="7" l="1"/>
  <c r="BI275" i="7"/>
  <c r="BE276" i="7"/>
  <c r="BI276" i="7" s="1"/>
  <c r="BD276" i="7"/>
  <c r="BC276" i="7"/>
  <c r="BG277" i="7"/>
  <c r="BC277" i="7" s="1"/>
  <c r="CT260" i="7"/>
  <c r="CZ259" i="7"/>
  <c r="CZ260" i="7" s="1"/>
  <c r="DA258" i="7"/>
  <c r="CW258" i="7"/>
  <c r="CV258" i="7"/>
  <c r="CX258" i="7"/>
  <c r="BA270" i="7"/>
  <c r="CD235" i="7"/>
  <c r="BT202" i="7"/>
  <c r="BR201" i="7"/>
  <c r="CR262" i="7"/>
  <c r="CR263" i="7" s="1"/>
  <c r="CO261" i="7"/>
  <c r="CP261" i="7"/>
  <c r="CS261" i="7"/>
  <c r="CN261" i="7"/>
  <c r="BX236" i="7"/>
  <c r="BY236" i="7"/>
  <c r="AS216" i="7"/>
  <c r="AR217" i="7"/>
  <c r="AO217" i="7"/>
  <c r="AM217" i="7"/>
  <c r="AN217" i="7"/>
  <c r="AQ218" i="7"/>
  <c r="AQ219" i="7" s="1"/>
  <c r="CC236" i="7"/>
  <c r="BZ236" i="7"/>
  <c r="CB237" i="7"/>
  <c r="AV271" i="7"/>
  <c r="AU271" i="7"/>
  <c r="AW271" i="7"/>
  <c r="AZ271" i="7"/>
  <c r="AY272" i="7"/>
  <c r="BU200" i="7"/>
  <c r="BV200" i="7" s="1"/>
  <c r="BQ200" i="7"/>
  <c r="BP200" i="7"/>
  <c r="AC200" i="7"/>
  <c r="AB201" i="7"/>
  <c r="X201" i="7"/>
  <c r="AA202" i="7"/>
  <c r="Y201" i="7"/>
  <c r="W201" i="7"/>
  <c r="Z201" i="7"/>
  <c r="BS201" i="7"/>
  <c r="F202" i="7"/>
  <c r="L201" i="7"/>
  <c r="BD277" i="7" l="1"/>
  <c r="BH277" i="7"/>
  <c r="BE277" i="7"/>
  <c r="BG278" i="7"/>
  <c r="DB258" i="7"/>
  <c r="BA271" i="7"/>
  <c r="CX260" i="7"/>
  <c r="CW260" i="7"/>
  <c r="CV260" i="7"/>
  <c r="DA260" i="7"/>
  <c r="CZ261" i="7"/>
  <c r="DA259" i="7"/>
  <c r="CW259" i="7"/>
  <c r="CV259" i="7"/>
  <c r="CX259" i="7"/>
  <c r="CT261" i="7"/>
  <c r="BR202" i="7"/>
  <c r="BT203" i="7"/>
  <c r="CR264" i="7"/>
  <c r="CS263" i="7"/>
  <c r="CN263" i="7"/>
  <c r="CP263" i="7"/>
  <c r="CO263" i="7"/>
  <c r="CD236" i="7"/>
  <c r="BX237" i="7"/>
  <c r="BY237" i="7"/>
  <c r="CP262" i="7"/>
  <c r="CN262" i="7"/>
  <c r="CS262" i="7"/>
  <c r="CO262" i="7"/>
  <c r="AR219" i="7"/>
  <c r="AO219" i="7"/>
  <c r="AM219" i="7"/>
  <c r="AN219" i="7"/>
  <c r="AQ220" i="7"/>
  <c r="AS217" i="7"/>
  <c r="AR218" i="7"/>
  <c r="AO218" i="7"/>
  <c r="AM218" i="7"/>
  <c r="AN218" i="7"/>
  <c r="CC237" i="7"/>
  <c r="BZ237" i="7"/>
  <c r="CB238" i="7"/>
  <c r="AZ272" i="7"/>
  <c r="AW272" i="7"/>
  <c r="AU272" i="7"/>
  <c r="AV272" i="7"/>
  <c r="AY273" i="7"/>
  <c r="BU201" i="7"/>
  <c r="BV201" i="7" s="1"/>
  <c r="BQ201" i="7"/>
  <c r="BP201" i="7"/>
  <c r="AB202" i="7"/>
  <c r="AA203" i="7"/>
  <c r="X202" i="7"/>
  <c r="W202" i="7"/>
  <c r="Y202" i="7"/>
  <c r="BS202" i="7"/>
  <c r="Z202" i="7"/>
  <c r="AC201" i="7"/>
  <c r="F203" i="7"/>
  <c r="L202" i="7"/>
  <c r="DB260" i="7" l="1"/>
  <c r="BI277" i="7"/>
  <c r="BE278" i="7"/>
  <c r="BH278" i="7"/>
  <c r="BD278" i="7"/>
  <c r="BC278" i="7"/>
  <c r="DB259" i="7"/>
  <c r="DA261" i="7"/>
  <c r="CV261" i="7"/>
  <c r="CW261" i="7"/>
  <c r="CX261" i="7"/>
  <c r="CZ262" i="7"/>
  <c r="BA272" i="7"/>
  <c r="BT204" i="7"/>
  <c r="BR203" i="7"/>
  <c r="CT262" i="7"/>
  <c r="CT263" i="7"/>
  <c r="CN264" i="7"/>
  <c r="CO264" i="7"/>
  <c r="CP264" i="7"/>
  <c r="CS264" i="7"/>
  <c r="BX238" i="7"/>
  <c r="BY238" i="7"/>
  <c r="CD237" i="7"/>
  <c r="CR265" i="7"/>
  <c r="AQ221" i="7"/>
  <c r="AS218" i="7"/>
  <c r="AS219" i="7"/>
  <c r="AR220" i="7"/>
  <c r="AO220" i="7"/>
  <c r="AM220" i="7"/>
  <c r="AN220" i="7"/>
  <c r="CC238" i="7"/>
  <c r="BZ238" i="7"/>
  <c r="CB239" i="7"/>
  <c r="AV273" i="7"/>
  <c r="AZ273" i="7"/>
  <c r="AW273" i="7"/>
  <c r="AU273" i="7"/>
  <c r="AY274" i="7"/>
  <c r="BS203" i="7"/>
  <c r="Z203" i="7"/>
  <c r="BP202" i="7"/>
  <c r="BU202" i="7"/>
  <c r="BV202" i="7" s="1"/>
  <c r="BQ202" i="7"/>
  <c r="AA204" i="7"/>
  <c r="X203" i="7"/>
  <c r="AB203" i="7"/>
  <c r="Y203" i="7"/>
  <c r="W203" i="7"/>
  <c r="AC202" i="7"/>
  <c r="F204" i="7"/>
  <c r="L203" i="7"/>
  <c r="BI278" i="7" l="1"/>
  <c r="DB261" i="7"/>
  <c r="CD238" i="7"/>
  <c r="CZ263" i="7"/>
  <c r="CW262" i="7"/>
  <c r="DA262" i="7"/>
  <c r="CV262" i="7"/>
  <c r="CX262" i="7"/>
  <c r="CT264" i="7"/>
  <c r="BT205" i="7"/>
  <c r="BR204" i="7"/>
  <c r="BA273" i="7"/>
  <c r="BX239" i="7"/>
  <c r="BY239" i="7"/>
  <c r="CR266" i="7"/>
  <c r="CS265" i="7"/>
  <c r="CN265" i="7"/>
  <c r="CO265" i="7"/>
  <c r="CP265" i="7"/>
  <c r="AS220" i="7"/>
  <c r="AR221" i="7"/>
  <c r="AO221" i="7"/>
  <c r="AM221" i="7"/>
  <c r="AN221" i="7"/>
  <c r="AQ222" i="7"/>
  <c r="AQ223" i="7" s="1"/>
  <c r="BZ239" i="7"/>
  <c r="CC239" i="7"/>
  <c r="CB240" i="7"/>
  <c r="AW274" i="7"/>
  <c r="AV274" i="7"/>
  <c r="AU274" i="7"/>
  <c r="AZ274" i="7"/>
  <c r="AY275" i="7"/>
  <c r="BP203" i="7"/>
  <c r="BU203" i="7"/>
  <c r="BV203" i="7" s="1"/>
  <c r="BQ203" i="7"/>
  <c r="AA205" i="7"/>
  <c r="AB204" i="7"/>
  <c r="W204" i="7"/>
  <c r="Y204" i="7"/>
  <c r="X204" i="7"/>
  <c r="BS204" i="7"/>
  <c r="Z204" i="7"/>
  <c r="AC203" i="7"/>
  <c r="F205" i="7"/>
  <c r="L204" i="7"/>
  <c r="BA274" i="7" l="1"/>
  <c r="DB262" i="7"/>
  <c r="DA263" i="7"/>
  <c r="CW263" i="7"/>
  <c r="CX263" i="7"/>
  <c r="CV263" i="7"/>
  <c r="CZ264" i="7"/>
  <c r="CD239" i="7"/>
  <c r="BR205" i="7"/>
  <c r="BT206" i="7"/>
  <c r="CT265" i="7"/>
  <c r="BX240" i="7"/>
  <c r="BY240" i="7"/>
  <c r="CO266" i="7"/>
  <c r="CS266" i="7"/>
  <c r="CN266" i="7"/>
  <c r="CP266" i="7"/>
  <c r="AS221" i="7"/>
  <c r="CR267" i="7"/>
  <c r="AR223" i="7"/>
  <c r="AO223" i="7"/>
  <c r="AM223" i="7"/>
  <c r="AN223" i="7"/>
  <c r="AR222" i="7"/>
  <c r="AO222" i="7"/>
  <c r="AM222" i="7"/>
  <c r="AN222" i="7"/>
  <c r="AQ224" i="7"/>
  <c r="BZ240" i="7"/>
  <c r="CC240" i="7"/>
  <c r="CB241" i="7"/>
  <c r="AW275" i="7"/>
  <c r="AZ275" i="7"/>
  <c r="AV275" i="7"/>
  <c r="AU275" i="7"/>
  <c r="AY276" i="7"/>
  <c r="AY277" i="7" s="1"/>
  <c r="AY278" i="7" s="1"/>
  <c r="Y205" i="7"/>
  <c r="AA206" i="7"/>
  <c r="X205" i="7"/>
  <c r="W205" i="7"/>
  <c r="AB205" i="7"/>
  <c r="BU204" i="7"/>
  <c r="BV204" i="7" s="1"/>
  <c r="BQ204" i="7"/>
  <c r="BP204" i="7"/>
  <c r="AC204" i="7"/>
  <c r="BS205" i="7"/>
  <c r="Z205" i="7"/>
  <c r="F206" i="7"/>
  <c r="L205" i="7"/>
  <c r="DB263" i="7" l="1"/>
  <c r="CD240" i="7"/>
  <c r="CV264" i="7"/>
  <c r="CW264" i="7"/>
  <c r="CX264" i="7"/>
  <c r="DA264" i="7"/>
  <c r="CZ265" i="7"/>
  <c r="BT207" i="7"/>
  <c r="BR206" i="7"/>
  <c r="BA275" i="7"/>
  <c r="CS267" i="7"/>
  <c r="CO267" i="7"/>
  <c r="CP267" i="7"/>
  <c r="CN267" i="7"/>
  <c r="CR268" i="7"/>
  <c r="CT266" i="7"/>
  <c r="BY241" i="7"/>
  <c r="BX241" i="7"/>
  <c r="AQ225" i="7"/>
  <c r="AQ226" i="7" s="1"/>
  <c r="AS223" i="7"/>
  <c r="AS222" i="7"/>
  <c r="AR224" i="7"/>
  <c r="AO224" i="7"/>
  <c r="AM224" i="7"/>
  <c r="AN224" i="7"/>
  <c r="CC241" i="7"/>
  <c r="BZ241" i="7"/>
  <c r="CB242" i="7"/>
  <c r="AZ278" i="7"/>
  <c r="AV278" i="7"/>
  <c r="AU278" i="7"/>
  <c r="AW278" i="7"/>
  <c r="AU276" i="7"/>
  <c r="AZ276" i="7"/>
  <c r="AV276" i="7"/>
  <c r="AW276" i="7"/>
  <c r="AV277" i="7"/>
  <c r="AU277" i="7"/>
  <c r="AZ277" i="7"/>
  <c r="AW277" i="7"/>
  <c r="BU205" i="7"/>
  <c r="BV205" i="7" s="1"/>
  <c r="BQ205" i="7"/>
  <c r="BP205" i="7"/>
  <c r="W206" i="7"/>
  <c r="AB206" i="7"/>
  <c r="AA207" i="7"/>
  <c r="Y206" i="7"/>
  <c r="X206" i="7"/>
  <c r="BS206" i="7"/>
  <c r="Z206" i="7"/>
  <c r="AC205" i="7"/>
  <c r="F207" i="7"/>
  <c r="L206" i="7"/>
  <c r="DB264" i="7" l="1"/>
  <c r="CW265" i="7"/>
  <c r="CX265" i="7"/>
  <c r="DA265" i="7"/>
  <c r="DB265" i="7" s="1"/>
  <c r="CV265" i="7"/>
  <c r="CZ266" i="7"/>
  <c r="CD241" i="7"/>
  <c r="CT267" i="7"/>
  <c r="BT208" i="7"/>
  <c r="BR207" i="7"/>
  <c r="BA277" i="7"/>
  <c r="BA278" i="7"/>
  <c r="CN268" i="7"/>
  <c r="CS268" i="7"/>
  <c r="CO268" i="7"/>
  <c r="CP268" i="7"/>
  <c r="CR269" i="7"/>
  <c r="BY242" i="7"/>
  <c r="BX242" i="7"/>
  <c r="AR226" i="7"/>
  <c r="AO226" i="7"/>
  <c r="AM226" i="7"/>
  <c r="AN226" i="7"/>
  <c r="AQ227" i="7"/>
  <c r="AQ228" i="7" s="1"/>
  <c r="AS224" i="7"/>
  <c r="AR225" i="7"/>
  <c r="AO225" i="7"/>
  <c r="AM225" i="7"/>
  <c r="AN225" i="7"/>
  <c r="CC242" i="7"/>
  <c r="BZ242" i="7"/>
  <c r="CB243" i="7"/>
  <c r="BA276" i="7"/>
  <c r="AC206" i="7"/>
  <c r="AB207" i="7"/>
  <c r="W207" i="7"/>
  <c r="Y207" i="7"/>
  <c r="AA208" i="7"/>
  <c r="X207" i="7"/>
  <c r="BQ206" i="7"/>
  <c r="BU206" i="7"/>
  <c r="BV206" i="7" s="1"/>
  <c r="BP206" i="7"/>
  <c r="BS207" i="7"/>
  <c r="Z207" i="7"/>
  <c r="F208" i="7"/>
  <c r="L207" i="7"/>
  <c r="CV266" i="7" l="1"/>
  <c r="CW266" i="7"/>
  <c r="DA266" i="7"/>
  <c r="CX266" i="7"/>
  <c r="CZ267" i="7"/>
  <c r="CT268" i="7"/>
  <c r="BT209" i="7"/>
  <c r="BR208" i="7"/>
  <c r="CD242" i="7"/>
  <c r="CR270" i="7"/>
  <c r="CR271" i="7" s="1"/>
  <c r="CP269" i="7"/>
  <c r="CS269" i="7"/>
  <c r="CN269" i="7"/>
  <c r="CO269" i="7"/>
  <c r="BY243" i="7"/>
  <c r="BX243" i="7"/>
  <c r="AR228" i="7"/>
  <c r="AO228" i="7"/>
  <c r="AM228" i="7"/>
  <c r="AN228" i="7"/>
  <c r="AS226" i="7"/>
  <c r="AS225" i="7"/>
  <c r="AQ229" i="7"/>
  <c r="AR227" i="7"/>
  <c r="AO227" i="7"/>
  <c r="AM227" i="7"/>
  <c r="AN227" i="7"/>
  <c r="BZ243" i="7"/>
  <c r="CC243" i="7"/>
  <c r="CD243" i="7" s="1"/>
  <c r="CB244" i="7"/>
  <c r="AA209" i="7"/>
  <c r="Y208" i="7"/>
  <c r="X208" i="7"/>
  <c r="AB208" i="7"/>
  <c r="W208" i="7"/>
  <c r="BU207" i="7"/>
  <c r="BV207" i="7" s="1"/>
  <c r="BQ207" i="7"/>
  <c r="BP207" i="7"/>
  <c r="BS208" i="7"/>
  <c r="Z208" i="7"/>
  <c r="AC207" i="7"/>
  <c r="F209" i="7"/>
  <c r="L208" i="7"/>
  <c r="DB266" i="7" l="1"/>
  <c r="CZ268" i="7"/>
  <c r="CW267" i="7"/>
  <c r="CX267" i="7"/>
  <c r="DA267" i="7"/>
  <c r="CV267" i="7"/>
  <c r="CT269" i="7"/>
  <c r="BR209" i="7"/>
  <c r="BT210" i="7"/>
  <c r="CP271" i="7"/>
  <c r="CN271" i="7"/>
  <c r="CO271" i="7"/>
  <c r="CS271" i="7"/>
  <c r="BY244" i="7"/>
  <c r="BX244" i="7"/>
  <c r="CS270" i="7"/>
  <c r="CO270" i="7"/>
  <c r="CP270" i="7"/>
  <c r="CN270" i="7"/>
  <c r="CR272" i="7"/>
  <c r="AS227" i="7"/>
  <c r="AQ230" i="7"/>
  <c r="AS228" i="7"/>
  <c r="AR229" i="7"/>
  <c r="AO229" i="7"/>
  <c r="AM229" i="7"/>
  <c r="AN229" i="7"/>
  <c r="CC244" i="7"/>
  <c r="BZ244" i="7"/>
  <c r="CB245" i="7"/>
  <c r="W209" i="7"/>
  <c r="AB209" i="7"/>
  <c r="Y209" i="7"/>
  <c r="AA210" i="7"/>
  <c r="X209" i="7"/>
  <c r="BU208" i="7"/>
  <c r="BV208" i="7" s="1"/>
  <c r="BQ208" i="7"/>
  <c r="BP208" i="7"/>
  <c r="Z209" i="7"/>
  <c r="BS209" i="7"/>
  <c r="AC208" i="7"/>
  <c r="F210" i="7"/>
  <c r="L209" i="7"/>
  <c r="DB267" i="7" l="1"/>
  <c r="CV268" i="7"/>
  <c r="CW268" i="7"/>
  <c r="CX268" i="7"/>
  <c r="DA268" i="7"/>
  <c r="CZ269" i="7"/>
  <c r="CT271" i="7"/>
  <c r="BR210" i="7"/>
  <c r="BT211" i="7"/>
  <c r="CD244" i="7"/>
  <c r="AS229" i="7"/>
  <c r="CS272" i="7"/>
  <c r="CO272" i="7"/>
  <c r="CN272" i="7"/>
  <c r="CP272" i="7"/>
  <c r="CT270" i="7"/>
  <c r="BY245" i="7"/>
  <c r="BX245" i="7"/>
  <c r="AC209" i="7"/>
  <c r="CR273" i="7"/>
  <c r="AR230" i="7"/>
  <c r="AO230" i="7"/>
  <c r="AM230" i="7"/>
  <c r="AN230" i="7"/>
  <c r="AQ231" i="7"/>
  <c r="AQ232" i="7" s="1"/>
  <c r="CC245" i="7"/>
  <c r="BZ245" i="7"/>
  <c r="CB246" i="7"/>
  <c r="BS210" i="7"/>
  <c r="Z210" i="7"/>
  <c r="BU209" i="7"/>
  <c r="BV209" i="7" s="1"/>
  <c r="BQ209" i="7"/>
  <c r="BP209" i="7"/>
  <c r="X210" i="7"/>
  <c r="W210" i="7"/>
  <c r="AB210" i="7"/>
  <c r="Y210" i="7"/>
  <c r="AA211" i="7"/>
  <c r="F211" i="7"/>
  <c r="L210" i="7"/>
  <c r="DB268" i="7" l="1"/>
  <c r="CD245" i="7"/>
  <c r="CZ270" i="7"/>
  <c r="CV269" i="7"/>
  <c r="CW269" i="7"/>
  <c r="CX269" i="7"/>
  <c r="DA269" i="7"/>
  <c r="BT212" i="7"/>
  <c r="BR211" i="7"/>
  <c r="CT272" i="7"/>
  <c r="BY246" i="7"/>
  <c r="BX246" i="7"/>
  <c r="CR274" i="7"/>
  <c r="CO273" i="7"/>
  <c r="CN273" i="7"/>
  <c r="CP273" i="7"/>
  <c r="CS273" i="7"/>
  <c r="AR232" i="7"/>
  <c r="AO232" i="7"/>
  <c r="AM232" i="7"/>
  <c r="AN232" i="7"/>
  <c r="AQ233" i="7"/>
  <c r="AQ234" i="7" s="1"/>
  <c r="AS230" i="7"/>
  <c r="AR231" i="7"/>
  <c r="AO231" i="7"/>
  <c r="AM231" i="7"/>
  <c r="AN231" i="7"/>
  <c r="CC246" i="7"/>
  <c r="BZ246" i="7"/>
  <c r="CB247" i="7"/>
  <c r="AB211" i="7"/>
  <c r="AA212" i="7"/>
  <c r="Y211" i="7"/>
  <c r="W211" i="7"/>
  <c r="X211" i="7"/>
  <c r="Z211" i="7"/>
  <c r="BS211" i="7"/>
  <c r="BU210" i="7"/>
  <c r="BV210" i="7" s="1"/>
  <c r="BQ210" i="7"/>
  <c r="BP210" i="7"/>
  <c r="AC210" i="7"/>
  <c r="F212" i="7"/>
  <c r="L211" i="7"/>
  <c r="DB269" i="7" l="1"/>
  <c r="CD246" i="7"/>
  <c r="CT273" i="7"/>
  <c r="CZ271" i="7"/>
  <c r="CV270" i="7"/>
  <c r="DA270" i="7"/>
  <c r="CW270" i="7"/>
  <c r="CX270" i="7"/>
  <c r="BT213" i="7"/>
  <c r="BR212" i="7"/>
  <c r="CS274" i="7"/>
  <c r="CO274" i="7"/>
  <c r="CP274" i="7"/>
  <c r="CN274" i="7"/>
  <c r="BX247" i="7"/>
  <c r="BY247" i="7"/>
  <c r="CR275" i="7"/>
  <c r="AR234" i="7"/>
  <c r="AO234" i="7"/>
  <c r="AM234" i="7"/>
  <c r="AN234" i="7"/>
  <c r="AS231" i="7"/>
  <c r="AS232" i="7"/>
  <c r="AQ235" i="7"/>
  <c r="AR233" i="7"/>
  <c r="AO233" i="7"/>
  <c r="AM233" i="7"/>
  <c r="AN233" i="7"/>
  <c r="CC247" i="7"/>
  <c r="BZ247" i="7"/>
  <c r="CB248" i="7"/>
  <c r="BU211" i="7"/>
  <c r="BV211" i="7" s="1"/>
  <c r="BQ211" i="7"/>
  <c r="BP211" i="7"/>
  <c r="BS212" i="7"/>
  <c r="Z212" i="7"/>
  <c r="AC211" i="7"/>
  <c r="AA213" i="7"/>
  <c r="Y212" i="7"/>
  <c r="X212" i="7"/>
  <c r="W212" i="7"/>
  <c r="AB212" i="7"/>
  <c r="F213" i="7"/>
  <c r="L212" i="7"/>
  <c r="DB270" i="7" l="1"/>
  <c r="CX271" i="7"/>
  <c r="CW271" i="7"/>
  <c r="CV271" i="7"/>
  <c r="DA271" i="7"/>
  <c r="DB271" i="7" s="1"/>
  <c r="CZ272" i="7"/>
  <c r="CZ273" i="7" s="1"/>
  <c r="CT274" i="7"/>
  <c r="CD247" i="7"/>
  <c r="BT214" i="7"/>
  <c r="BR213" i="7"/>
  <c r="CP275" i="7"/>
  <c r="CN275" i="7"/>
  <c r="CO275" i="7"/>
  <c r="CS275" i="7"/>
  <c r="AS233" i="7"/>
  <c r="BX248" i="7"/>
  <c r="BY248" i="7"/>
  <c r="CR276" i="7"/>
  <c r="AS234" i="7"/>
  <c r="AR235" i="7"/>
  <c r="AO235" i="7"/>
  <c r="AM235" i="7"/>
  <c r="AN235" i="7"/>
  <c r="AQ236" i="7"/>
  <c r="BZ248" i="7"/>
  <c r="CC248" i="7"/>
  <c r="CB249" i="7"/>
  <c r="W213" i="7"/>
  <c r="AA214" i="7"/>
  <c r="Y213" i="7"/>
  <c r="X213" i="7"/>
  <c r="AB213" i="7"/>
  <c r="Z213" i="7"/>
  <c r="BS213" i="7"/>
  <c r="AC212" i="7"/>
  <c r="BP212" i="7"/>
  <c r="BU212" i="7"/>
  <c r="BV212" i="7" s="1"/>
  <c r="BQ212" i="7"/>
  <c r="F214" i="7"/>
  <c r="L213" i="7"/>
  <c r="CW273" i="7" l="1"/>
  <c r="CX273" i="7"/>
  <c r="CV273" i="7"/>
  <c r="DA273" i="7"/>
  <c r="DB273" i="7" s="1"/>
  <c r="CZ274" i="7"/>
  <c r="DA272" i="7"/>
  <c r="CV272" i="7"/>
  <c r="CW272" i="7"/>
  <c r="CX272" i="7"/>
  <c r="CD248" i="7"/>
  <c r="CT275" i="7"/>
  <c r="BR214" i="7"/>
  <c r="BT215" i="7"/>
  <c r="CN276" i="7"/>
  <c r="CO276" i="7"/>
  <c r="CP276" i="7"/>
  <c r="CS276" i="7"/>
  <c r="BX249" i="7"/>
  <c r="BY249" i="7"/>
  <c r="CR277" i="7"/>
  <c r="AS235" i="7"/>
  <c r="AR236" i="7"/>
  <c r="AO236" i="7"/>
  <c r="AM236" i="7"/>
  <c r="AN236" i="7"/>
  <c r="AQ237" i="7"/>
  <c r="CC249" i="7"/>
  <c r="BZ249" i="7"/>
  <c r="CB250" i="7"/>
  <c r="BU213" i="7"/>
  <c r="BV213" i="7" s="1"/>
  <c r="BQ213" i="7"/>
  <c r="BP213" i="7"/>
  <c r="AC213" i="7"/>
  <c r="AB214" i="7"/>
  <c r="AA215" i="7"/>
  <c r="Y214" i="7"/>
  <c r="X214" i="7"/>
  <c r="W214" i="7"/>
  <c r="BS214" i="7"/>
  <c r="Z214" i="7"/>
  <c r="F215" i="7"/>
  <c r="L214" i="7"/>
  <c r="DB272" i="7" l="1"/>
  <c r="CW274" i="7"/>
  <c r="CX274" i="7"/>
  <c r="CV274" i="7"/>
  <c r="DA274" i="7"/>
  <c r="DB274" i="7" s="1"/>
  <c r="CZ275" i="7"/>
  <c r="CT276" i="7"/>
  <c r="BT216" i="7"/>
  <c r="BR215" i="7"/>
  <c r="CD249" i="7"/>
  <c r="BX250" i="7"/>
  <c r="BY250" i="7"/>
  <c r="CR278" i="7"/>
  <c r="CN277" i="7"/>
  <c r="CS277" i="7"/>
  <c r="CO277" i="7"/>
  <c r="CP277" i="7"/>
  <c r="AS236" i="7"/>
  <c r="AR237" i="7"/>
  <c r="AO237" i="7"/>
  <c r="AM237" i="7"/>
  <c r="AN237" i="7"/>
  <c r="AQ238" i="7"/>
  <c r="CC250" i="7"/>
  <c r="BZ250" i="7"/>
  <c r="CB251" i="7"/>
  <c r="BP214" i="7"/>
  <c r="BU214" i="7"/>
  <c r="BV214" i="7" s="1"/>
  <c r="BQ214" i="7"/>
  <c r="Y215" i="7"/>
  <c r="AB215" i="7"/>
  <c r="W215" i="7"/>
  <c r="AA216" i="7"/>
  <c r="X215" i="7"/>
  <c r="BS215" i="7"/>
  <c r="Z215" i="7"/>
  <c r="AC214" i="7"/>
  <c r="F216" i="7"/>
  <c r="L215" i="7"/>
  <c r="CV275" i="7" l="1"/>
  <c r="CX275" i="7"/>
  <c r="DA275" i="7"/>
  <c r="DB275" i="7" s="1"/>
  <c r="CW275" i="7"/>
  <c r="CZ276" i="7"/>
  <c r="CD250" i="7"/>
  <c r="BT217" i="7"/>
  <c r="BR216" i="7"/>
  <c r="CT277" i="7"/>
  <c r="AC215" i="7"/>
  <c r="BY251" i="7"/>
  <c r="BX251" i="7"/>
  <c r="CS278" i="7"/>
  <c r="CN278" i="7"/>
  <c r="CP278" i="7"/>
  <c r="CO278" i="7"/>
  <c r="AS237" i="7"/>
  <c r="AR238" i="7"/>
  <c r="AO238" i="7"/>
  <c r="AM238" i="7"/>
  <c r="AN238" i="7"/>
  <c r="AQ239" i="7"/>
  <c r="CC251" i="7"/>
  <c r="BZ251" i="7"/>
  <c r="CB252" i="7"/>
  <c r="AB216" i="7"/>
  <c r="W216" i="7"/>
  <c r="X216" i="7"/>
  <c r="AA217" i="7"/>
  <c r="Y216" i="7"/>
  <c r="BS216" i="7"/>
  <c r="Z216" i="7"/>
  <c r="BU215" i="7"/>
  <c r="BV215" i="7" s="1"/>
  <c r="BP215" i="7"/>
  <c r="BQ215" i="7"/>
  <c r="F217" i="7"/>
  <c r="L216" i="7"/>
  <c r="DA276" i="7" l="1"/>
  <c r="CX276" i="7"/>
  <c r="CW276" i="7"/>
  <c r="CV276" i="7"/>
  <c r="CZ277" i="7"/>
  <c r="CZ278" i="7" s="1"/>
  <c r="CD251" i="7"/>
  <c r="CT278" i="7"/>
  <c r="BR217" i="7"/>
  <c r="BT218" i="7"/>
  <c r="BX252" i="7"/>
  <c r="BY252" i="7"/>
  <c r="AC216" i="7"/>
  <c r="AS238" i="7"/>
  <c r="AR239" i="7"/>
  <c r="AO239" i="7"/>
  <c r="AM239" i="7"/>
  <c r="AN239" i="7"/>
  <c r="AQ240" i="7"/>
  <c r="BZ252" i="7"/>
  <c r="CC252" i="7"/>
  <c r="CB253" i="7"/>
  <c r="BU216" i="7"/>
  <c r="BV216" i="7" s="1"/>
  <c r="BQ216" i="7"/>
  <c r="BP216" i="7"/>
  <c r="AB217" i="7"/>
  <c r="X217" i="7"/>
  <c r="W217" i="7"/>
  <c r="Y217" i="7"/>
  <c r="AA218" i="7"/>
  <c r="BS217" i="7"/>
  <c r="Z217" i="7"/>
  <c r="F218" i="7"/>
  <c r="L217" i="7"/>
  <c r="DB276" i="7" l="1"/>
  <c r="CV278" i="7"/>
  <c r="CX278" i="7"/>
  <c r="CW278" i="7"/>
  <c r="DA278" i="7"/>
  <c r="DB278" i="7" s="1"/>
  <c r="CV277" i="7"/>
  <c r="DA277" i="7"/>
  <c r="CW277" i="7"/>
  <c r="CX277" i="7"/>
  <c r="BT219" i="7"/>
  <c r="BR218" i="7"/>
  <c r="AS239" i="7"/>
  <c r="CD252" i="7"/>
  <c r="BY253" i="7"/>
  <c r="BX253" i="7"/>
  <c r="AR240" i="7"/>
  <c r="AO240" i="7"/>
  <c r="AM240" i="7"/>
  <c r="AN240" i="7"/>
  <c r="AQ241" i="7"/>
  <c r="CC253" i="7"/>
  <c r="BZ253" i="7"/>
  <c r="CB254" i="7"/>
  <c r="AA219" i="7"/>
  <c r="Y218" i="7"/>
  <c r="W218" i="7"/>
  <c r="X218" i="7"/>
  <c r="AB218" i="7"/>
  <c r="BS218" i="7"/>
  <c r="Z218" i="7"/>
  <c r="BQ217" i="7"/>
  <c r="BU217" i="7"/>
  <c r="BV217" i="7" s="1"/>
  <c r="BP217" i="7"/>
  <c r="AC217" i="7"/>
  <c r="F219" i="7"/>
  <c r="L218" i="7"/>
  <c r="DB277" i="7" l="1"/>
  <c r="BT220" i="7"/>
  <c r="BR219" i="7"/>
  <c r="CD253" i="7"/>
  <c r="AC218" i="7"/>
  <c r="BY254" i="7"/>
  <c r="BX254" i="7"/>
  <c r="AS240" i="7"/>
  <c r="AR241" i="7"/>
  <c r="AO241" i="7"/>
  <c r="AM241" i="7"/>
  <c r="AN241" i="7"/>
  <c r="AQ242" i="7"/>
  <c r="CC254" i="7"/>
  <c r="BZ254" i="7"/>
  <c r="CB255" i="7"/>
  <c r="BS219" i="7"/>
  <c r="Z219" i="7"/>
  <c r="BP218" i="7"/>
  <c r="BU218" i="7"/>
  <c r="BV218" i="7" s="1"/>
  <c r="BQ218" i="7"/>
  <c r="W219" i="7"/>
  <c r="Y219" i="7"/>
  <c r="AA220" i="7"/>
  <c r="X219" i="7"/>
  <c r="AB219" i="7"/>
  <c r="F220" i="7"/>
  <c r="L219" i="7"/>
  <c r="BR220" i="7" l="1"/>
  <c r="BT221" i="7"/>
  <c r="CD254" i="7"/>
  <c r="BY255" i="7"/>
  <c r="BX255" i="7"/>
  <c r="AS241" i="7"/>
  <c r="AR242" i="7"/>
  <c r="AO242" i="7"/>
  <c r="AM242" i="7"/>
  <c r="AN242" i="7"/>
  <c r="AQ243" i="7"/>
  <c r="AQ244" i="7" s="1"/>
  <c r="BZ255" i="7"/>
  <c r="CC255" i="7"/>
  <c r="CB256" i="7"/>
  <c r="AC219" i="7"/>
  <c r="AB220" i="7"/>
  <c r="Y220" i="7"/>
  <c r="X220" i="7"/>
  <c r="AA221" i="7"/>
  <c r="W220" i="7"/>
  <c r="BU219" i="7"/>
  <c r="BV219" i="7" s="1"/>
  <c r="BP219" i="7"/>
  <c r="BQ219" i="7"/>
  <c r="BS220" i="7"/>
  <c r="Z220" i="7"/>
  <c r="F221" i="7"/>
  <c r="L220" i="7"/>
  <c r="BT222" i="7" l="1"/>
  <c r="BR221" i="7"/>
  <c r="BY256" i="7"/>
  <c r="BX256" i="7"/>
  <c r="AS242" i="7"/>
  <c r="CD255" i="7"/>
  <c r="AR244" i="7"/>
  <c r="AO244" i="7"/>
  <c r="AM244" i="7"/>
  <c r="AN244" i="7"/>
  <c r="AR243" i="7"/>
  <c r="AO243" i="7"/>
  <c r="AM243" i="7"/>
  <c r="AN243" i="7"/>
  <c r="AQ245" i="7"/>
  <c r="BZ256" i="7"/>
  <c r="CC256" i="7"/>
  <c r="CB257" i="7"/>
  <c r="BU220" i="7"/>
  <c r="BV220" i="7" s="1"/>
  <c r="BQ220" i="7"/>
  <c r="BP220" i="7"/>
  <c r="Y221" i="7"/>
  <c r="AA222" i="7"/>
  <c r="X221" i="7"/>
  <c r="AB221" i="7"/>
  <c r="W221" i="7"/>
  <c r="Z221" i="7"/>
  <c r="BS221" i="7"/>
  <c r="AC220" i="7"/>
  <c r="F222" i="7"/>
  <c r="L221" i="7"/>
  <c r="CD256" i="7" l="1"/>
  <c r="BR222" i="7"/>
  <c r="BT223" i="7"/>
  <c r="BY257" i="7"/>
  <c r="BX257" i="7"/>
  <c r="AC221" i="7"/>
  <c r="AS244" i="7"/>
  <c r="AQ246" i="7"/>
  <c r="AS243" i="7"/>
  <c r="AR245" i="7"/>
  <c r="AO245" i="7"/>
  <c r="AM245" i="7"/>
  <c r="AN245" i="7"/>
  <c r="CC257" i="7"/>
  <c r="BZ257" i="7"/>
  <c r="CB258" i="7"/>
  <c r="X222" i="7"/>
  <c r="AB222" i="7"/>
  <c r="Y222" i="7"/>
  <c r="W222" i="7"/>
  <c r="AA223" i="7"/>
  <c r="BU221" i="7"/>
  <c r="BV221" i="7" s="1"/>
  <c r="BQ221" i="7"/>
  <c r="BP221" i="7"/>
  <c r="BS222" i="7"/>
  <c r="Z222" i="7"/>
  <c r="F223" i="7"/>
  <c r="L222" i="7"/>
  <c r="BT224" i="7" l="1"/>
  <c r="BR223" i="7"/>
  <c r="AS245" i="7"/>
  <c r="BY258" i="7"/>
  <c r="BX258" i="7"/>
  <c r="AR246" i="7"/>
  <c r="AO246" i="7"/>
  <c r="AM246" i="7"/>
  <c r="AN246" i="7"/>
  <c r="AQ247" i="7"/>
  <c r="BZ258" i="7"/>
  <c r="CC258" i="7"/>
  <c r="CD257" i="7"/>
  <c r="CB259" i="7"/>
  <c r="AC222" i="7"/>
  <c r="BU222" i="7"/>
  <c r="BV222" i="7" s="1"/>
  <c r="BQ222" i="7"/>
  <c r="BP222" i="7"/>
  <c r="AB223" i="7"/>
  <c r="Y223" i="7"/>
  <c r="AA224" i="7"/>
  <c r="W223" i="7"/>
  <c r="X223" i="7"/>
  <c r="Z223" i="7"/>
  <c r="BS223" i="7"/>
  <c r="F224" i="7"/>
  <c r="L223" i="7"/>
  <c r="CD258" i="7" l="1"/>
  <c r="BT225" i="7"/>
  <c r="BR224" i="7"/>
  <c r="BX259" i="7"/>
  <c r="BY259" i="7"/>
  <c r="AS246" i="7"/>
  <c r="AR247" i="7"/>
  <c r="AO247" i="7"/>
  <c r="AM247" i="7"/>
  <c r="AN247" i="7"/>
  <c r="AQ248" i="7"/>
  <c r="CC259" i="7"/>
  <c r="BZ259" i="7"/>
  <c r="CB260" i="7"/>
  <c r="X224" i="7"/>
  <c r="AB224" i="7"/>
  <c r="Y224" i="7"/>
  <c r="AA225" i="7"/>
  <c r="W224" i="7"/>
  <c r="BP223" i="7"/>
  <c r="BU223" i="7"/>
  <c r="BV223" i="7" s="1"/>
  <c r="BQ223" i="7"/>
  <c r="AC223" i="7"/>
  <c r="BS224" i="7"/>
  <c r="Z224" i="7"/>
  <c r="F225" i="7"/>
  <c r="L224" i="7"/>
  <c r="BT226" i="7" l="1"/>
  <c r="BR225" i="7"/>
  <c r="BX260" i="7"/>
  <c r="BY260" i="7"/>
  <c r="CD259" i="7"/>
  <c r="AS247" i="7"/>
  <c r="AR248" i="7"/>
  <c r="AO248" i="7"/>
  <c r="AM248" i="7"/>
  <c r="AN248" i="7"/>
  <c r="AQ249" i="7"/>
  <c r="AQ250" i="7" s="1"/>
  <c r="CC260" i="7"/>
  <c r="BZ260" i="7"/>
  <c r="CB261" i="7"/>
  <c r="Y225" i="7"/>
  <c r="AA226" i="7"/>
  <c r="AB225" i="7"/>
  <c r="W225" i="7"/>
  <c r="X225" i="7"/>
  <c r="BP224" i="7"/>
  <c r="BQ224" i="7"/>
  <c r="BU224" i="7"/>
  <c r="BV224" i="7" s="1"/>
  <c r="AC224" i="7"/>
  <c r="Z225" i="7"/>
  <c r="BS225" i="7"/>
  <c r="F226" i="7"/>
  <c r="L225" i="7"/>
  <c r="BR226" i="7" l="1"/>
  <c r="BT227" i="7"/>
  <c r="CD260" i="7"/>
  <c r="AC225" i="7"/>
  <c r="BX261" i="7"/>
  <c r="BY261" i="7"/>
  <c r="AQ251" i="7"/>
  <c r="AS248" i="7"/>
  <c r="AR249" i="7"/>
  <c r="AO249" i="7"/>
  <c r="AM249" i="7"/>
  <c r="AN249" i="7"/>
  <c r="AR250" i="7"/>
  <c r="AO250" i="7"/>
  <c r="AM250" i="7"/>
  <c r="AN250" i="7"/>
  <c r="CC261" i="7"/>
  <c r="BZ261" i="7"/>
  <c r="CB262" i="7"/>
  <c r="W226" i="7"/>
  <c r="X226" i="7"/>
  <c r="Y226" i="7"/>
  <c r="AB226" i="7"/>
  <c r="AA227" i="7"/>
  <c r="BU225" i="7"/>
  <c r="BV225" i="7" s="1"/>
  <c r="BQ225" i="7"/>
  <c r="BP225" i="7"/>
  <c r="BS226" i="7"/>
  <c r="Z226" i="7"/>
  <c r="F227" i="7"/>
  <c r="L226" i="7"/>
  <c r="BT228" i="7" l="1"/>
  <c r="BR227" i="7"/>
  <c r="CD261" i="7"/>
  <c r="BX262" i="7"/>
  <c r="BY262" i="7"/>
  <c r="AC226" i="7"/>
  <c r="AQ252" i="7"/>
  <c r="AS250" i="7"/>
  <c r="AS249" i="7"/>
  <c r="AR251" i="7"/>
  <c r="AO251" i="7"/>
  <c r="AM251" i="7"/>
  <c r="AN251" i="7"/>
  <c r="CC262" i="7"/>
  <c r="BZ262" i="7"/>
  <c r="CB263" i="7"/>
  <c r="BU226" i="7"/>
  <c r="BV226" i="7" s="1"/>
  <c r="BQ226" i="7"/>
  <c r="BP226" i="7"/>
  <c r="Y227" i="7"/>
  <c r="X227" i="7"/>
  <c r="W227" i="7"/>
  <c r="AB227" i="7"/>
  <c r="AA228" i="7"/>
  <c r="BS227" i="7"/>
  <c r="Z227" i="7"/>
  <c r="F228" i="7"/>
  <c r="L227" i="7"/>
  <c r="BR228" i="7" l="1"/>
  <c r="BT229" i="7"/>
  <c r="CD262" i="7"/>
  <c r="BX263" i="7"/>
  <c r="BY263" i="7"/>
  <c r="AS251" i="7"/>
  <c r="AR252" i="7"/>
  <c r="AO252" i="7"/>
  <c r="AM252" i="7"/>
  <c r="AN252" i="7"/>
  <c r="AQ253" i="7"/>
  <c r="CC263" i="7"/>
  <c r="BZ263" i="7"/>
  <c r="CB264" i="7"/>
  <c r="X228" i="7"/>
  <c r="AA229" i="7"/>
  <c r="W228" i="7"/>
  <c r="AB228" i="7"/>
  <c r="Y228" i="7"/>
  <c r="BU227" i="7"/>
  <c r="BV227" i="7" s="1"/>
  <c r="BQ227" i="7"/>
  <c r="BP227" i="7"/>
  <c r="BS228" i="7"/>
  <c r="Z228" i="7"/>
  <c r="AC227" i="7"/>
  <c r="F229" i="7"/>
  <c r="L228" i="7"/>
  <c r="CD263" i="7" l="1"/>
  <c r="BR229" i="7"/>
  <c r="BT230" i="7"/>
  <c r="AS252" i="7"/>
  <c r="BX264" i="7"/>
  <c r="BY264" i="7"/>
  <c r="AR253" i="7"/>
  <c r="AO253" i="7"/>
  <c r="AM253" i="7"/>
  <c r="AN253" i="7"/>
  <c r="AQ254" i="7"/>
  <c r="BZ264" i="7"/>
  <c r="CC264" i="7"/>
  <c r="CB265" i="7"/>
  <c r="Y229" i="7"/>
  <c r="W229" i="7"/>
  <c r="X229" i="7"/>
  <c r="AB229" i="7"/>
  <c r="AA230" i="7"/>
  <c r="BU228" i="7"/>
  <c r="BV228" i="7" s="1"/>
  <c r="BP228" i="7"/>
  <c r="BQ228" i="7"/>
  <c r="BS229" i="7"/>
  <c r="Z229" i="7"/>
  <c r="AC228" i="7"/>
  <c r="F230" i="7"/>
  <c r="L229" i="7"/>
  <c r="BR230" i="7" l="1"/>
  <c r="BT231" i="7"/>
  <c r="AS253" i="7"/>
  <c r="BY265" i="7"/>
  <c r="BX265" i="7"/>
  <c r="CD264" i="7"/>
  <c r="AR254" i="7"/>
  <c r="AO254" i="7"/>
  <c r="AM254" i="7"/>
  <c r="AN254" i="7"/>
  <c r="AQ255" i="7"/>
  <c r="AQ256" i="7" s="1"/>
  <c r="AQ257" i="7" s="1"/>
  <c r="BZ265" i="7"/>
  <c r="CC265" i="7"/>
  <c r="CB266" i="7"/>
  <c r="Y230" i="7"/>
  <c r="W230" i="7"/>
  <c r="AA231" i="7"/>
  <c r="X230" i="7"/>
  <c r="AB230" i="7"/>
  <c r="BQ229" i="7"/>
  <c r="BP229" i="7"/>
  <c r="BU229" i="7"/>
  <c r="BV229" i="7" s="1"/>
  <c r="BS230" i="7"/>
  <c r="Z230" i="7"/>
  <c r="AC229" i="7"/>
  <c r="F231" i="7"/>
  <c r="L230" i="7"/>
  <c r="BT232" i="7" l="1"/>
  <c r="BR231" i="7"/>
  <c r="CD265" i="7"/>
  <c r="BY266" i="7"/>
  <c r="BX266" i="7"/>
  <c r="AS254" i="7"/>
  <c r="AR257" i="7"/>
  <c r="AO257" i="7"/>
  <c r="AM257" i="7"/>
  <c r="AN257" i="7"/>
  <c r="AR255" i="7"/>
  <c r="AQ258" i="7"/>
  <c r="AQ259" i="7" s="1"/>
  <c r="AO255" i="7"/>
  <c r="AM255" i="7"/>
  <c r="AN255" i="7"/>
  <c r="AR256" i="7"/>
  <c r="AO256" i="7"/>
  <c r="AM256" i="7"/>
  <c r="AN256" i="7"/>
  <c r="BZ266" i="7"/>
  <c r="CC266" i="7"/>
  <c r="CD266" i="7" s="1"/>
  <c r="CB267" i="7"/>
  <c r="BP230" i="7"/>
  <c r="BU230" i="7"/>
  <c r="BV230" i="7" s="1"/>
  <c r="BQ230" i="7"/>
  <c r="X231" i="7"/>
  <c r="Y231" i="7"/>
  <c r="AB231" i="7"/>
  <c r="W231" i="7"/>
  <c r="AA232" i="7"/>
  <c r="BS231" i="7"/>
  <c r="Z231" i="7"/>
  <c r="AC230" i="7"/>
  <c r="F232" i="7"/>
  <c r="L231" i="7"/>
  <c r="BR232" i="7" l="1"/>
  <c r="BT233" i="7"/>
  <c r="BY267" i="7"/>
  <c r="BX267" i="7"/>
  <c r="AR258" i="7"/>
  <c r="AO258" i="7"/>
  <c r="AM258" i="7"/>
  <c r="AN258" i="7"/>
  <c r="AR259" i="7"/>
  <c r="AO259" i="7"/>
  <c r="AM259" i="7"/>
  <c r="AN259" i="7"/>
  <c r="AS255" i="7"/>
  <c r="AS257" i="7"/>
  <c r="AQ260" i="7"/>
  <c r="AS256" i="7"/>
  <c r="BZ267" i="7"/>
  <c r="CC267" i="7"/>
  <c r="CB268" i="7"/>
  <c r="BP231" i="7"/>
  <c r="BU231" i="7"/>
  <c r="BV231" i="7" s="1"/>
  <c r="BQ231" i="7"/>
  <c r="BS232" i="7"/>
  <c r="Z232" i="7"/>
  <c r="AA233" i="7"/>
  <c r="X232" i="7"/>
  <c r="Y232" i="7"/>
  <c r="W232" i="7"/>
  <c r="AB232" i="7"/>
  <c r="AC231" i="7"/>
  <c r="F233" i="7"/>
  <c r="L232" i="7"/>
  <c r="CD267" i="7" l="1"/>
  <c r="BT234" i="7"/>
  <c r="BR233" i="7"/>
  <c r="AS258" i="7"/>
  <c r="BY268" i="7"/>
  <c r="BX268" i="7"/>
  <c r="AR260" i="7"/>
  <c r="AO260" i="7"/>
  <c r="AM260" i="7"/>
  <c r="AN260" i="7"/>
  <c r="AQ261" i="7"/>
  <c r="AS259" i="7"/>
  <c r="BZ268" i="7"/>
  <c r="CC268" i="7"/>
  <c r="CB269" i="7"/>
  <c r="X233" i="7"/>
  <c r="AB233" i="7"/>
  <c r="Y233" i="7"/>
  <c r="W233" i="7"/>
  <c r="AA234" i="7"/>
  <c r="Z233" i="7"/>
  <c r="BS233" i="7"/>
  <c r="AC232" i="7"/>
  <c r="BU232" i="7"/>
  <c r="BV232" i="7" s="1"/>
  <c r="BQ232" i="7"/>
  <c r="BP232" i="7"/>
  <c r="F234" i="7"/>
  <c r="L233" i="7"/>
  <c r="BR234" i="7" l="1"/>
  <c r="BT235" i="7"/>
  <c r="AC233" i="7"/>
  <c r="BY269" i="7"/>
  <c r="BX269" i="7"/>
  <c r="CD268" i="7"/>
  <c r="AS260" i="7"/>
  <c r="AR261" i="7"/>
  <c r="AO261" i="7"/>
  <c r="AM261" i="7"/>
  <c r="AN261" i="7"/>
  <c r="AQ262" i="7"/>
  <c r="CC269" i="7"/>
  <c r="BZ269" i="7"/>
  <c r="CB270" i="7"/>
  <c r="X234" i="7"/>
  <c r="AB234" i="7"/>
  <c r="AA235" i="7"/>
  <c r="Y234" i="7"/>
  <c r="W234" i="7"/>
  <c r="BP233" i="7"/>
  <c r="BU233" i="7"/>
  <c r="BV233" i="7" s="1"/>
  <c r="BQ233" i="7"/>
  <c r="BS234" i="7"/>
  <c r="Z234" i="7"/>
  <c r="F235" i="7"/>
  <c r="L234" i="7"/>
  <c r="BT236" i="7" l="1"/>
  <c r="BR235" i="7"/>
  <c r="CD269" i="7"/>
  <c r="BY270" i="7"/>
  <c r="BX270" i="7"/>
  <c r="AR262" i="7"/>
  <c r="AO262" i="7"/>
  <c r="AM262" i="7"/>
  <c r="AN262" i="7"/>
  <c r="AQ263" i="7"/>
  <c r="AS261" i="7"/>
  <c r="BZ270" i="7"/>
  <c r="CC270" i="7"/>
  <c r="CB271" i="7"/>
  <c r="BU234" i="7"/>
  <c r="BV234" i="7" s="1"/>
  <c r="BP234" i="7"/>
  <c r="BQ234" i="7"/>
  <c r="AA236" i="7"/>
  <c r="W235" i="7"/>
  <c r="Y235" i="7"/>
  <c r="X235" i="7"/>
  <c r="AB235" i="7"/>
  <c r="Z235" i="7"/>
  <c r="BS235" i="7"/>
  <c r="AC234" i="7"/>
  <c r="F236" i="7"/>
  <c r="L235" i="7"/>
  <c r="BR236" i="7" l="1"/>
  <c r="BT237" i="7"/>
  <c r="BX271" i="7"/>
  <c r="BY271" i="7"/>
  <c r="CD270" i="7"/>
  <c r="AR263" i="7"/>
  <c r="AO263" i="7"/>
  <c r="AM263" i="7"/>
  <c r="AN263" i="7"/>
  <c r="AS262" i="7"/>
  <c r="AQ264" i="7"/>
  <c r="BZ271" i="7"/>
  <c r="CC271" i="7"/>
  <c r="CB272" i="7"/>
  <c r="AC235" i="7"/>
  <c r="X236" i="7"/>
  <c r="W236" i="7"/>
  <c r="AA237" i="7"/>
  <c r="AB236" i="7"/>
  <c r="Y236" i="7"/>
  <c r="BQ235" i="7"/>
  <c r="BU235" i="7"/>
  <c r="BV235" i="7" s="1"/>
  <c r="BP235" i="7"/>
  <c r="BS236" i="7"/>
  <c r="Z236" i="7"/>
  <c r="F237" i="7"/>
  <c r="L236" i="7"/>
  <c r="BT238" i="7" l="1"/>
  <c r="BR237" i="7"/>
  <c r="BX272" i="7"/>
  <c r="BY272" i="7"/>
  <c r="CD271" i="7"/>
  <c r="AR264" i="7"/>
  <c r="AO264" i="7"/>
  <c r="AM264" i="7"/>
  <c r="AN264" i="7"/>
  <c r="AQ265" i="7"/>
  <c r="AS263" i="7"/>
  <c r="CC272" i="7"/>
  <c r="BZ272" i="7"/>
  <c r="CB273" i="7"/>
  <c r="BU236" i="7"/>
  <c r="BV236" i="7" s="1"/>
  <c r="BP236" i="7"/>
  <c r="BQ236" i="7"/>
  <c r="X237" i="7"/>
  <c r="AB237" i="7"/>
  <c r="AA238" i="7"/>
  <c r="Y237" i="7"/>
  <c r="W237" i="7"/>
  <c r="Z237" i="7"/>
  <c r="BS237" i="7"/>
  <c r="AC236" i="7"/>
  <c r="F238" i="7"/>
  <c r="L237" i="7"/>
  <c r="BR238" i="7" l="1"/>
  <c r="BT239" i="7"/>
  <c r="AS264" i="7"/>
  <c r="CD272" i="7"/>
  <c r="BX273" i="7"/>
  <c r="BY273" i="7"/>
  <c r="AC237" i="7"/>
  <c r="AR265" i="7"/>
  <c r="AO265" i="7"/>
  <c r="AM265" i="7"/>
  <c r="AN265" i="7"/>
  <c r="AQ266" i="7"/>
  <c r="BZ273" i="7"/>
  <c r="CC273" i="7"/>
  <c r="CB274" i="7"/>
  <c r="W238" i="7"/>
  <c r="AA239" i="7"/>
  <c r="AB238" i="7"/>
  <c r="Y238" i="7"/>
  <c r="X238" i="7"/>
  <c r="BP237" i="7"/>
  <c r="BQ237" i="7"/>
  <c r="BU237" i="7"/>
  <c r="BV237" i="7" s="1"/>
  <c r="BS238" i="7"/>
  <c r="Z238" i="7"/>
  <c r="F239" i="7"/>
  <c r="L238" i="7"/>
  <c r="BT240" i="7" l="1"/>
  <c r="BR239" i="7"/>
  <c r="BX274" i="7"/>
  <c r="BY274" i="7"/>
  <c r="AC238" i="7"/>
  <c r="AS265" i="7"/>
  <c r="AR266" i="7"/>
  <c r="AO266" i="7"/>
  <c r="AM266" i="7"/>
  <c r="AN266" i="7"/>
  <c r="AQ267" i="7"/>
  <c r="CC274" i="7"/>
  <c r="BZ274" i="7"/>
  <c r="CD273" i="7"/>
  <c r="CB275" i="7"/>
  <c r="Y239" i="7"/>
  <c r="X239" i="7"/>
  <c r="AA240" i="7"/>
  <c r="AB239" i="7"/>
  <c r="W239" i="7"/>
  <c r="BP238" i="7"/>
  <c r="BU238" i="7"/>
  <c r="BV238" i="7" s="1"/>
  <c r="BQ238" i="7"/>
  <c r="BS239" i="7"/>
  <c r="Z239" i="7"/>
  <c r="F240" i="7"/>
  <c r="L239" i="7"/>
  <c r="BT241" i="7" l="1"/>
  <c r="BR240" i="7"/>
  <c r="CD274" i="7"/>
  <c r="AS266" i="7"/>
  <c r="BY275" i="7"/>
  <c r="BX275" i="7"/>
  <c r="AR267" i="7"/>
  <c r="AO267" i="7"/>
  <c r="AM267" i="7"/>
  <c r="AN267" i="7"/>
  <c r="AQ268" i="7"/>
  <c r="BZ275" i="7"/>
  <c r="CC275" i="7"/>
  <c r="CB276" i="7"/>
  <c r="AC239" i="7"/>
  <c r="Y240" i="7"/>
  <c r="AB240" i="7"/>
  <c r="X240" i="7"/>
  <c r="AA241" i="7"/>
  <c r="W240" i="7"/>
  <c r="BQ239" i="7"/>
  <c r="BU239" i="7"/>
  <c r="BV239" i="7" s="1"/>
  <c r="BP239" i="7"/>
  <c r="BS240" i="7"/>
  <c r="Z240" i="7"/>
  <c r="F241" i="7"/>
  <c r="L240" i="7"/>
  <c r="CD275" i="7" l="1"/>
  <c r="BT242" i="7"/>
  <c r="BR241" i="7"/>
  <c r="AS267" i="7"/>
  <c r="BX276" i="7"/>
  <c r="BY276" i="7"/>
  <c r="AR268" i="7"/>
  <c r="AO268" i="7"/>
  <c r="AM268" i="7"/>
  <c r="AN268" i="7"/>
  <c r="AQ269" i="7"/>
  <c r="BZ276" i="7"/>
  <c r="CC276" i="7"/>
  <c r="CB277" i="7"/>
  <c r="CB278" i="7" s="1"/>
  <c r="BP240" i="7"/>
  <c r="BQ240" i="7"/>
  <c r="BU240" i="7"/>
  <c r="BV240" i="7" s="1"/>
  <c r="X241" i="7"/>
  <c r="AA242" i="7"/>
  <c r="W241" i="7"/>
  <c r="AB241" i="7"/>
  <c r="Y241" i="7"/>
  <c r="BS241" i="7"/>
  <c r="Z241" i="7"/>
  <c r="AC240" i="7"/>
  <c r="F242" i="7"/>
  <c r="L241" i="7"/>
  <c r="BR242" i="7" l="1"/>
  <c r="BT243" i="7"/>
  <c r="BY278" i="7"/>
  <c r="BX278" i="7"/>
  <c r="BY277" i="7"/>
  <c r="BX277" i="7"/>
  <c r="CD276" i="7"/>
  <c r="AS268" i="7"/>
  <c r="AR269" i="7"/>
  <c r="AO269" i="7"/>
  <c r="AM269" i="7"/>
  <c r="AN269" i="7"/>
  <c r="AQ270" i="7"/>
  <c r="BZ277" i="7"/>
  <c r="CC277" i="7"/>
  <c r="BZ278" i="7"/>
  <c r="CC278" i="7"/>
  <c r="CD278" i="7" s="1"/>
  <c r="AC241" i="7"/>
  <c r="BU241" i="7"/>
  <c r="BV241" i="7" s="1"/>
  <c r="BQ241" i="7"/>
  <c r="BP241" i="7"/>
  <c r="W242" i="7"/>
  <c r="AA243" i="7"/>
  <c r="Y242" i="7"/>
  <c r="X242" i="7"/>
  <c r="AB242" i="7"/>
  <c r="BS242" i="7"/>
  <c r="Z242" i="7"/>
  <c r="F243" i="7"/>
  <c r="L242" i="7"/>
  <c r="CD277" i="7" l="1"/>
  <c r="BT244" i="7"/>
  <c r="BR243" i="7"/>
  <c r="AS269" i="7"/>
  <c r="AR270" i="7"/>
  <c r="AO270" i="7"/>
  <c r="AM270" i="7"/>
  <c r="AN270" i="7"/>
  <c r="AQ271" i="7"/>
  <c r="X243" i="7"/>
  <c r="W243" i="7"/>
  <c r="AB243" i="7"/>
  <c r="AA244" i="7"/>
  <c r="Y243" i="7"/>
  <c r="BU242" i="7"/>
  <c r="BV242" i="7" s="1"/>
  <c r="BP242" i="7"/>
  <c r="BQ242" i="7"/>
  <c r="BS243" i="7"/>
  <c r="Z243" i="7"/>
  <c r="AC242" i="7"/>
  <c r="F244" i="7"/>
  <c r="L243" i="7"/>
  <c r="BT245" i="7" l="1"/>
  <c r="BR244" i="7"/>
  <c r="AS270" i="7"/>
  <c r="AR271" i="7"/>
  <c r="AO271" i="7"/>
  <c r="AM271" i="7"/>
  <c r="AN271" i="7"/>
  <c r="AQ272" i="7"/>
  <c r="AC243" i="7"/>
  <c r="AB244" i="7"/>
  <c r="AA245" i="7"/>
  <c r="W244" i="7"/>
  <c r="Y244" i="7"/>
  <c r="X244" i="7"/>
  <c r="BU243" i="7"/>
  <c r="BV243" i="7" s="1"/>
  <c r="BP243" i="7"/>
  <c r="BQ243" i="7"/>
  <c r="BS244" i="7"/>
  <c r="Z244" i="7"/>
  <c r="F245" i="7"/>
  <c r="L244" i="7"/>
  <c r="BT246" i="7" l="1"/>
  <c r="BR245" i="7"/>
  <c r="AS271" i="7"/>
  <c r="AR272" i="7"/>
  <c r="AO272" i="7"/>
  <c r="AM272" i="7"/>
  <c r="AN272" i="7"/>
  <c r="AQ273" i="7"/>
  <c r="W245" i="7"/>
  <c r="AB245" i="7"/>
  <c r="AA246" i="7"/>
  <c r="X245" i="7"/>
  <c r="Y245" i="7"/>
  <c r="BU244" i="7"/>
  <c r="BV244" i="7" s="1"/>
  <c r="BQ244" i="7"/>
  <c r="BP244" i="7"/>
  <c r="AC244" i="7"/>
  <c r="Z245" i="7"/>
  <c r="BS245" i="7"/>
  <c r="F246" i="7"/>
  <c r="L245" i="7"/>
  <c r="BR246" i="7" l="1"/>
  <c r="BT247" i="7"/>
  <c r="AS272" i="7"/>
  <c r="AR273" i="7"/>
  <c r="AO273" i="7"/>
  <c r="AM273" i="7"/>
  <c r="AN273" i="7"/>
  <c r="AQ274" i="7"/>
  <c r="X246" i="7"/>
  <c r="AB246" i="7"/>
  <c r="AA247" i="7"/>
  <c r="W246" i="7"/>
  <c r="Y246" i="7"/>
  <c r="BQ245" i="7"/>
  <c r="BP245" i="7"/>
  <c r="BU245" i="7"/>
  <c r="BV245" i="7" s="1"/>
  <c r="BS246" i="7"/>
  <c r="Z246" i="7"/>
  <c r="AC245" i="7"/>
  <c r="F247" i="7"/>
  <c r="L246" i="7"/>
  <c r="BR247" i="7" l="1"/>
  <c r="BT248" i="7"/>
  <c r="AS273" i="7"/>
  <c r="AR274" i="7"/>
  <c r="AO274" i="7"/>
  <c r="AM274" i="7"/>
  <c r="AN274" i="7"/>
  <c r="AQ275" i="7"/>
  <c r="BU246" i="7"/>
  <c r="BV246" i="7" s="1"/>
  <c r="BQ246" i="7"/>
  <c r="BP246" i="7"/>
  <c r="X247" i="7"/>
  <c r="Q1" i="7" s="1"/>
  <c r="AA248" i="7"/>
  <c r="W247" i="7"/>
  <c r="Y247" i="7"/>
  <c r="AB247" i="7"/>
  <c r="AC246" i="7"/>
  <c r="Z247" i="7"/>
  <c r="BS247" i="7"/>
  <c r="F248" i="7"/>
  <c r="L247" i="7"/>
  <c r="AS274" i="7" l="1"/>
  <c r="BT249" i="7"/>
  <c r="BR248" i="7"/>
  <c r="AC247" i="7"/>
  <c r="AR275" i="7"/>
  <c r="AO275" i="7"/>
  <c r="AM275" i="7"/>
  <c r="AN275" i="7"/>
  <c r="AQ276" i="7"/>
  <c r="W248" i="7"/>
  <c r="Y248" i="7"/>
  <c r="AA249" i="7"/>
  <c r="X248" i="7"/>
  <c r="AB248" i="7"/>
  <c r="BS248" i="7"/>
  <c r="Z248" i="7"/>
  <c r="BU247" i="7"/>
  <c r="BV247" i="7" s="1"/>
  <c r="BQ247" i="7"/>
  <c r="BP247" i="7"/>
  <c r="F249" i="7"/>
  <c r="L248" i="7"/>
  <c r="AS275" i="7" l="1"/>
  <c r="BT250" i="7"/>
  <c r="BR249" i="7"/>
  <c r="AR276" i="7"/>
  <c r="AO276" i="7"/>
  <c r="AM276" i="7"/>
  <c r="AN276" i="7"/>
  <c r="AQ277" i="7"/>
  <c r="BU248" i="7"/>
  <c r="BV248" i="7" s="1"/>
  <c r="BQ248" i="7"/>
  <c r="BP248" i="7"/>
  <c r="X249" i="7"/>
  <c r="AB249" i="7"/>
  <c r="AA250" i="7"/>
  <c r="Y249" i="7"/>
  <c r="W249" i="7"/>
  <c r="AC248" i="7"/>
  <c r="Z249" i="7"/>
  <c r="BS249" i="7"/>
  <c r="F250" i="7"/>
  <c r="L249" i="7"/>
  <c r="BR250" i="7" l="1"/>
  <c r="BT251" i="7"/>
  <c r="AS276" i="7"/>
  <c r="AR277" i="7"/>
  <c r="AO277" i="7"/>
  <c r="AM277" i="7"/>
  <c r="AN277" i="7"/>
  <c r="AQ278" i="7"/>
  <c r="X250" i="7"/>
  <c r="Y250" i="7"/>
  <c r="AB250" i="7"/>
  <c r="AA251" i="7"/>
  <c r="W250" i="7"/>
  <c r="BQ249" i="7"/>
  <c r="BU249" i="7"/>
  <c r="BV249" i="7" s="1"/>
  <c r="BP249" i="7"/>
  <c r="BS250" i="7"/>
  <c r="Z250" i="7"/>
  <c r="AC249" i="7"/>
  <c r="F251" i="7"/>
  <c r="L250" i="7"/>
  <c r="BT252" i="7" l="1"/>
  <c r="BR251" i="7"/>
  <c r="AS277" i="7"/>
  <c r="AR278" i="7"/>
  <c r="AO278" i="7"/>
  <c r="AM278" i="7"/>
  <c r="AN278" i="7"/>
  <c r="X251" i="7"/>
  <c r="AB251" i="7"/>
  <c r="AA252" i="7"/>
  <c r="Y251" i="7"/>
  <c r="W251" i="7"/>
  <c r="BU250" i="7"/>
  <c r="BV250" i="7" s="1"/>
  <c r="BQ250" i="7"/>
  <c r="BP250" i="7"/>
  <c r="BS251" i="7"/>
  <c r="Z251" i="7"/>
  <c r="AC250" i="7"/>
  <c r="F252" i="7"/>
  <c r="L251" i="7"/>
  <c r="BT253" i="7" l="1"/>
  <c r="BR252" i="7"/>
  <c r="AS278" i="7"/>
  <c r="BQ251" i="7"/>
  <c r="BP251" i="7"/>
  <c r="BU251" i="7"/>
  <c r="BV251" i="7" s="1"/>
  <c r="X252" i="7"/>
  <c r="AB252" i="7"/>
  <c r="AA253" i="7"/>
  <c r="W252" i="7"/>
  <c r="Y252" i="7"/>
  <c r="BS252" i="7"/>
  <c r="Z252" i="7"/>
  <c r="AC251" i="7"/>
  <c r="F253" i="7"/>
  <c r="L252" i="7"/>
  <c r="BT254" i="7" l="1"/>
  <c r="BR253" i="7"/>
  <c r="AC252" i="7"/>
  <c r="BP252" i="7"/>
  <c r="BU252" i="7"/>
  <c r="BV252" i="7" s="1"/>
  <c r="BQ252" i="7"/>
  <c r="W253" i="7"/>
  <c r="AB253" i="7"/>
  <c r="AA254" i="7"/>
  <c r="Y253" i="7"/>
  <c r="X253" i="7"/>
  <c r="BS253" i="7"/>
  <c r="Z253" i="7"/>
  <c r="F254" i="7"/>
  <c r="L253" i="7"/>
  <c r="BR254" i="7" l="1"/>
  <c r="BT255" i="7"/>
  <c r="AB254" i="7"/>
  <c r="Y254" i="7"/>
  <c r="X254" i="7"/>
  <c r="W254" i="7"/>
  <c r="AA255" i="7"/>
  <c r="BS254" i="7"/>
  <c r="Z254" i="7"/>
  <c r="BU253" i="7"/>
  <c r="BV253" i="7" s="1"/>
  <c r="BQ253" i="7"/>
  <c r="BP253" i="7"/>
  <c r="AC253" i="7"/>
  <c r="F255" i="7"/>
  <c r="BR255" i="7" l="1"/>
  <c r="BT256" i="7"/>
  <c r="BU254" i="7"/>
  <c r="BV254" i="7" s="1"/>
  <c r="BP254" i="7"/>
  <c r="BQ254" i="7"/>
  <c r="AB255" i="7"/>
  <c r="AA256" i="7"/>
  <c r="Y255" i="7"/>
  <c r="W255" i="7"/>
  <c r="X255" i="7"/>
  <c r="BS255" i="7"/>
  <c r="Z255" i="7"/>
  <c r="AC254" i="7"/>
  <c r="F256" i="7"/>
  <c r="BT257" i="7" l="1"/>
  <c r="BR256" i="7"/>
  <c r="BP255" i="7"/>
  <c r="BQ255" i="7"/>
  <c r="BU255" i="7"/>
  <c r="BV255" i="7" s="1"/>
  <c r="BS256" i="7"/>
  <c r="Z256" i="7"/>
  <c r="AB256" i="7"/>
  <c r="AA257" i="7"/>
  <c r="X256" i="7"/>
  <c r="W256" i="7"/>
  <c r="Y256" i="7"/>
  <c r="AC255" i="7"/>
  <c r="F257" i="7"/>
  <c r="C7" i="10"/>
  <c r="BT258" i="7" l="1"/>
  <c r="BR257" i="7"/>
  <c r="AC256" i="7"/>
  <c r="AA258" i="7"/>
  <c r="X257" i="7"/>
  <c r="W257" i="7"/>
  <c r="AB257" i="7"/>
  <c r="Y257" i="7"/>
  <c r="Z257" i="7"/>
  <c r="BS257" i="7"/>
  <c r="BQ256" i="7"/>
  <c r="BU256" i="7"/>
  <c r="BV256" i="7" s="1"/>
  <c r="BP256" i="7"/>
  <c r="C6" i="10"/>
  <c r="F258" i="7"/>
  <c r="C5" i="10"/>
  <c r="AC257" i="7" l="1"/>
  <c r="BT259" i="7"/>
  <c r="BR258" i="7"/>
  <c r="BS258" i="7"/>
  <c r="Z258" i="7"/>
  <c r="AA259" i="7"/>
  <c r="Y258" i="7"/>
  <c r="AB258" i="7"/>
  <c r="X258" i="7"/>
  <c r="W258" i="7"/>
  <c r="BU257" i="7"/>
  <c r="BV257" i="7" s="1"/>
  <c r="BQ257" i="7"/>
  <c r="BP257" i="7"/>
  <c r="F259" i="7"/>
  <c r="BR259" i="7" l="1"/>
  <c r="BT260" i="7"/>
  <c r="AC258" i="7"/>
  <c r="AB259" i="7"/>
  <c r="AA260" i="7"/>
  <c r="Y259" i="7"/>
  <c r="W259" i="7"/>
  <c r="X259" i="7"/>
  <c r="BQ258" i="7"/>
  <c r="BP258" i="7"/>
  <c r="BU258" i="7"/>
  <c r="BV258" i="7" s="1"/>
  <c r="Z259" i="7"/>
  <c r="BS259" i="7"/>
  <c r="F260" i="7"/>
  <c r="BT261" i="7" l="1"/>
  <c r="BR260" i="7"/>
  <c r="BQ259" i="7"/>
  <c r="BP259" i="7"/>
  <c r="BU259" i="7"/>
  <c r="BV259" i="7" s="1"/>
  <c r="AA261" i="7"/>
  <c r="Y260" i="7"/>
  <c r="X260" i="7"/>
  <c r="W260" i="7"/>
  <c r="AB260" i="7"/>
  <c r="BS260" i="7"/>
  <c r="Z260" i="7"/>
  <c r="AC259" i="7"/>
  <c r="F261" i="7"/>
  <c r="BT262" i="7" l="1"/>
  <c r="BR261" i="7"/>
  <c r="W261" i="7"/>
  <c r="Y261" i="7"/>
  <c r="AB261" i="7"/>
  <c r="AA262" i="7"/>
  <c r="X261" i="7"/>
  <c r="BU260" i="7"/>
  <c r="BV260" i="7" s="1"/>
  <c r="BQ260" i="7"/>
  <c r="BP260" i="7"/>
  <c r="Z261" i="7"/>
  <c r="BS261" i="7"/>
  <c r="AC260" i="7"/>
  <c r="F262" i="7"/>
  <c r="BR262" i="7" l="1"/>
  <c r="BT263" i="7"/>
  <c r="AC261" i="7"/>
  <c r="W262" i="7"/>
  <c r="Y262" i="7"/>
  <c r="X262" i="7"/>
  <c r="AA263" i="7"/>
  <c r="AB262" i="7"/>
  <c r="BQ261" i="7"/>
  <c r="BP261" i="7"/>
  <c r="BU261" i="7"/>
  <c r="BV261" i="7" s="1"/>
  <c r="BS262" i="7"/>
  <c r="Z262" i="7"/>
  <c r="F263" i="7"/>
  <c r="BT264" i="7" l="1"/>
  <c r="BR263" i="7"/>
  <c r="AC262" i="7"/>
  <c r="BS263" i="7"/>
  <c r="Z263" i="7"/>
  <c r="BQ262" i="7"/>
  <c r="BP262" i="7"/>
  <c r="BU262" i="7"/>
  <c r="BV262" i="7" s="1"/>
  <c r="W263" i="7"/>
  <c r="X263" i="7"/>
  <c r="AB263" i="7"/>
  <c r="AA264" i="7"/>
  <c r="Y263" i="7"/>
  <c r="F264" i="7"/>
  <c r="BR264" i="7" l="1"/>
  <c r="BT265" i="7"/>
  <c r="AC263" i="7"/>
  <c r="X264" i="7"/>
  <c r="W264" i="7"/>
  <c r="AA265" i="7"/>
  <c r="Y264" i="7"/>
  <c r="AB264" i="7"/>
  <c r="BS264" i="7"/>
  <c r="Z264" i="7"/>
  <c r="BU263" i="7"/>
  <c r="BV263" i="7" s="1"/>
  <c r="BQ263" i="7"/>
  <c r="BP263" i="7"/>
  <c r="F265" i="7"/>
  <c r="BT266" i="7" l="1"/>
  <c r="BR265" i="7"/>
  <c r="BU264" i="7"/>
  <c r="BV264" i="7" s="1"/>
  <c r="BQ264" i="7"/>
  <c r="BP264" i="7"/>
  <c r="AC264" i="7"/>
  <c r="BS265" i="7"/>
  <c r="Z265" i="7"/>
  <c r="W265" i="7"/>
  <c r="AA266" i="7"/>
  <c r="Y265" i="7"/>
  <c r="X265" i="7"/>
  <c r="AB265" i="7"/>
  <c r="F266" i="7"/>
  <c r="BT267" i="7" l="1"/>
  <c r="BR266" i="7"/>
  <c r="AC265" i="7"/>
  <c r="W266" i="7"/>
  <c r="AB266" i="7"/>
  <c r="Y266" i="7"/>
  <c r="X266" i="7"/>
  <c r="AA267" i="7"/>
  <c r="BU265" i="7"/>
  <c r="BV265" i="7" s="1"/>
  <c r="BQ265" i="7"/>
  <c r="BP265" i="7"/>
  <c r="BS266" i="7"/>
  <c r="Z266" i="7"/>
  <c r="F267" i="7"/>
  <c r="BT268" i="7" l="1"/>
  <c r="BR267" i="7"/>
  <c r="AC266" i="7"/>
  <c r="X267" i="7"/>
  <c r="AB267" i="7"/>
  <c r="AA268" i="7"/>
  <c r="Y267" i="7"/>
  <c r="W267" i="7"/>
  <c r="BU266" i="7"/>
  <c r="BV266" i="7" s="1"/>
  <c r="BP266" i="7"/>
  <c r="BQ266" i="7"/>
  <c r="BS267" i="7"/>
  <c r="Z267" i="7"/>
  <c r="F268" i="7"/>
  <c r="BR268" i="7" l="1"/>
  <c r="BT269" i="7"/>
  <c r="Y268" i="7"/>
  <c r="W268" i="7"/>
  <c r="AB268" i="7"/>
  <c r="AA269" i="7"/>
  <c r="X268" i="7"/>
  <c r="BS268" i="7"/>
  <c r="Z268" i="7"/>
  <c r="BP267" i="7"/>
  <c r="BQ267" i="7"/>
  <c r="BU267" i="7"/>
  <c r="BV267" i="7" s="1"/>
  <c r="AC267" i="7"/>
  <c r="F269" i="7"/>
  <c r="BR269" i="7" l="1"/>
  <c r="BT270" i="7"/>
  <c r="BQ268" i="7"/>
  <c r="BU268" i="7"/>
  <c r="BV268" i="7" s="1"/>
  <c r="BP268" i="7"/>
  <c r="AA270" i="7"/>
  <c r="Y269" i="7"/>
  <c r="X269" i="7"/>
  <c r="W269" i="7"/>
  <c r="AB269" i="7"/>
  <c r="AC268" i="7"/>
  <c r="Z269" i="7"/>
  <c r="BS269" i="7"/>
  <c r="F270" i="7"/>
  <c r="BT271" i="7" l="1"/>
  <c r="BR270" i="7"/>
  <c r="BU269" i="7"/>
  <c r="BV269" i="7" s="1"/>
  <c r="BQ269" i="7"/>
  <c r="BP269" i="7"/>
  <c r="AA271" i="7"/>
  <c r="X270" i="7"/>
  <c r="Y270" i="7"/>
  <c r="W270" i="7"/>
  <c r="AB270" i="7"/>
  <c r="BS270" i="7"/>
  <c r="Z270" i="7"/>
  <c r="AC269" i="7"/>
  <c r="F271" i="7"/>
  <c r="AC270" i="7" l="1"/>
  <c r="BR271" i="7"/>
  <c r="BT272" i="7"/>
  <c r="AB271" i="7"/>
  <c r="Y271" i="7"/>
  <c r="X271" i="7"/>
  <c r="W271" i="7"/>
  <c r="AA272" i="7"/>
  <c r="Z271" i="7"/>
  <c r="BS271" i="7"/>
  <c r="BU270" i="7"/>
  <c r="BV270" i="7" s="1"/>
  <c r="BQ270" i="7"/>
  <c r="BP270" i="7"/>
  <c r="F272" i="7"/>
  <c r="BT273" i="7" l="1"/>
  <c r="BR272" i="7"/>
  <c r="AB272" i="7"/>
  <c r="Y272" i="7"/>
  <c r="X272" i="7"/>
  <c r="W272" i="7"/>
  <c r="AA273" i="7"/>
  <c r="BS272" i="7"/>
  <c r="Z272" i="7"/>
  <c r="BP271" i="7"/>
  <c r="BU271" i="7"/>
  <c r="BV271" i="7" s="1"/>
  <c r="BQ271" i="7"/>
  <c r="AC271" i="7"/>
  <c r="F273" i="7"/>
  <c r="AC272" i="7" l="1"/>
  <c r="BR273" i="7"/>
  <c r="BT274" i="7"/>
  <c r="BU272" i="7"/>
  <c r="BV272" i="7" s="1"/>
  <c r="BP272" i="7"/>
  <c r="BQ272" i="7"/>
  <c r="W273" i="7"/>
  <c r="AB273" i="7"/>
  <c r="AA274" i="7"/>
  <c r="X273" i="7"/>
  <c r="Y273" i="7"/>
  <c r="Z273" i="7"/>
  <c r="BS273" i="7"/>
  <c r="F274" i="7"/>
  <c r="AC273" i="7" l="1"/>
  <c r="BR274" i="7"/>
  <c r="BT275" i="7"/>
  <c r="AB274" i="7"/>
  <c r="W274" i="7"/>
  <c r="AA275" i="7"/>
  <c r="Y274" i="7"/>
  <c r="X274" i="7"/>
  <c r="BU273" i="7"/>
  <c r="BV273" i="7" s="1"/>
  <c r="BQ273" i="7"/>
  <c r="BP273" i="7"/>
  <c r="BS274" i="7"/>
  <c r="Z274" i="7"/>
  <c r="F275" i="7"/>
  <c r="AC274" i="7" l="1"/>
  <c r="BR275" i="7"/>
  <c r="BT276" i="7"/>
  <c r="BU274" i="7"/>
  <c r="BV274" i="7" s="1"/>
  <c r="BQ274" i="7"/>
  <c r="BP274" i="7"/>
  <c r="BS275" i="7"/>
  <c r="Z275" i="7"/>
  <c r="AA276" i="7"/>
  <c r="X275" i="7"/>
  <c r="W275" i="7"/>
  <c r="AB275" i="7"/>
  <c r="Y275" i="7"/>
  <c r="F276" i="7"/>
  <c r="BR276" i="7" l="1"/>
  <c r="BT277" i="7"/>
  <c r="AC275" i="7"/>
  <c r="W276" i="7"/>
  <c r="AA277" i="7"/>
  <c r="AB276" i="7"/>
  <c r="Y276" i="7"/>
  <c r="X276" i="7"/>
  <c r="BP275" i="7"/>
  <c r="BU275" i="7"/>
  <c r="BV275" i="7" s="1"/>
  <c r="BQ275" i="7"/>
  <c r="BS276" i="7"/>
  <c r="Z276" i="7"/>
  <c r="F277" i="7"/>
  <c r="BR277" i="7" l="1"/>
  <c r="BT278" i="7"/>
  <c r="BR278" i="7" s="1"/>
  <c r="W277" i="7"/>
  <c r="AB277" i="7"/>
  <c r="Y277" i="7"/>
  <c r="X277" i="7"/>
  <c r="AA278" i="7"/>
  <c r="BQ276" i="7"/>
  <c r="BP276" i="7"/>
  <c r="BU276" i="7"/>
  <c r="BV276" i="7" s="1"/>
  <c r="AC276" i="7"/>
  <c r="BS277" i="7"/>
  <c r="Z277" i="7"/>
  <c r="F278" i="7"/>
  <c r="AB278" i="7" l="1"/>
  <c r="Y278" i="7"/>
  <c r="X278" i="7"/>
  <c r="W278" i="7"/>
  <c r="M2" i="7" s="1"/>
  <c r="AC277" i="7"/>
  <c r="BU277" i="7"/>
  <c r="BV277" i="7" s="1"/>
  <c r="BQ277" i="7"/>
  <c r="BP277" i="7"/>
  <c r="BS278" i="7"/>
  <c r="Z278" i="7"/>
  <c r="BU278" i="7" l="1"/>
  <c r="BV278" i="7" s="1"/>
  <c r="BP278" i="7"/>
  <c r="M1" i="7" s="1"/>
  <c r="BQ278" i="7"/>
  <c r="AC278" i="7"/>
  <c r="O4" i="7" l="1"/>
  <c r="O18" i="7"/>
  <c r="J19" i="9" s="1"/>
  <c r="O22" i="7"/>
  <c r="J23" i="9" s="1"/>
  <c r="O10" i="7"/>
  <c r="O34" i="7"/>
  <c r="J35" i="9" s="1"/>
  <c r="G25" i="10" s="1"/>
  <c r="O8" i="7"/>
  <c r="J9" i="9" s="1"/>
  <c r="O21" i="7"/>
  <c r="J22" i="9" s="1"/>
  <c r="O27" i="7"/>
  <c r="J28" i="9" s="1"/>
  <c r="O6" i="7"/>
  <c r="J7" i="9" s="1"/>
  <c r="M25" i="10" s="1"/>
  <c r="O29" i="7"/>
  <c r="J30" i="9" s="1"/>
  <c r="O30" i="7"/>
  <c r="J31" i="9" s="1"/>
  <c r="O16" i="7"/>
  <c r="J17" i="9" s="1"/>
  <c r="O33" i="7"/>
  <c r="J34" i="9" s="1"/>
  <c r="O31" i="7"/>
  <c r="J32" i="9" s="1"/>
  <c r="O20" i="7"/>
  <c r="J21" i="9" s="1"/>
  <c r="O13" i="7"/>
  <c r="J14" i="9" s="1"/>
  <c r="O14" i="7"/>
  <c r="J15" i="9" s="1"/>
  <c r="O12" i="7"/>
  <c r="J13" i="9" s="1"/>
  <c r="O25" i="7"/>
  <c r="J26" i="9" s="1"/>
  <c r="O19" i="7"/>
  <c r="J20" i="9" s="1"/>
  <c r="O28" i="7"/>
  <c r="J29" i="9" s="1"/>
  <c r="O11" i="7"/>
  <c r="J12" i="9" s="1"/>
  <c r="O32" i="7"/>
  <c r="J33" i="9" s="1"/>
  <c r="O26" i="7"/>
  <c r="J27" i="9" s="1"/>
  <c r="O24" i="7"/>
  <c r="J25" i="9" s="1"/>
  <c r="O7" i="7"/>
  <c r="J8" i="9" s="1"/>
  <c r="O25" i="10" s="1"/>
  <c r="O17" i="7"/>
  <c r="J18" i="9" s="1"/>
  <c r="O23" i="7"/>
  <c r="J24" i="9" s="1"/>
  <c r="O9" i="7"/>
  <c r="J10" i="9" s="1"/>
  <c r="O15" i="7"/>
  <c r="J16" i="9" s="1"/>
  <c r="O5" i="7"/>
  <c r="J6" i="9" s="1"/>
  <c r="P4" i="7"/>
  <c r="K5" i="9" s="1"/>
  <c r="J11" i="9"/>
  <c r="E6" i="10" l="1"/>
  <c r="I26" i="10"/>
  <c r="G5" i="10"/>
  <c r="K25" i="10"/>
  <c r="I17" i="10"/>
  <c r="I13" i="10"/>
  <c r="C13" i="10"/>
  <c r="O17" i="10"/>
  <c r="C25" i="10"/>
  <c r="E25" i="10"/>
  <c r="M21" i="10"/>
  <c r="C21" i="10"/>
  <c r="E13" i="10"/>
  <c r="P18" i="7"/>
  <c r="K19" i="9" s="1"/>
  <c r="I9" i="10"/>
  <c r="M17" i="10"/>
  <c r="I21" i="10"/>
  <c r="G17" i="10"/>
  <c r="E17" i="10"/>
  <c r="O9" i="10"/>
  <c r="O13" i="10"/>
  <c r="K13" i="10"/>
  <c r="C17" i="10"/>
  <c r="G13" i="10"/>
  <c r="M13" i="10"/>
  <c r="K17" i="10"/>
  <c r="G21" i="10"/>
  <c r="E21" i="10"/>
  <c r="J5" i="9"/>
  <c r="Q4" i="7"/>
  <c r="L5" i="9" s="1"/>
  <c r="Q5" i="7"/>
  <c r="P5" i="7"/>
  <c r="K6" i="9" s="1"/>
  <c r="P6" i="7"/>
  <c r="K7" i="9" s="1"/>
  <c r="M26" i="10" s="1"/>
  <c r="Q6" i="7"/>
  <c r="L7" i="9" s="1"/>
  <c r="Q24" i="7"/>
  <c r="L25" i="9" s="1"/>
  <c r="P15" i="7"/>
  <c r="K16" i="9" s="1"/>
  <c r="Q15" i="7"/>
  <c r="L16" i="9" s="1"/>
  <c r="Q16" i="7"/>
  <c r="L17" i="9" s="1"/>
  <c r="Q29" i="7"/>
  <c r="L30" i="9" s="1"/>
  <c r="Q28" i="7"/>
  <c r="L29" i="9" s="1"/>
  <c r="P29" i="7"/>
  <c r="K30" i="9" s="1"/>
  <c r="Q11" i="7"/>
  <c r="L12" i="9" s="1"/>
  <c r="P16" i="7"/>
  <c r="K17" i="9" s="1"/>
  <c r="P24" i="7"/>
  <c r="K25" i="9" s="1"/>
  <c r="Q20" i="7"/>
  <c r="L21" i="9" s="1"/>
  <c r="P28" i="7"/>
  <c r="K29" i="9" s="1"/>
  <c r="M5" i="10"/>
  <c r="P14" i="7"/>
  <c r="K15" i="9" s="1"/>
  <c r="Q34" i="7"/>
  <c r="L35" i="9" s="1"/>
  <c r="G27" i="10" s="1"/>
  <c r="P33" i="7"/>
  <c r="K34" i="9" s="1"/>
  <c r="Q14" i="7"/>
  <c r="L15" i="9" s="1"/>
  <c r="P26" i="7"/>
  <c r="K27" i="9" s="1"/>
  <c r="Q26" i="7"/>
  <c r="L27" i="9" s="1"/>
  <c r="P30" i="7"/>
  <c r="K31" i="9" s="1"/>
  <c r="P10" i="7"/>
  <c r="K11" i="9" s="1"/>
  <c r="Q10" i="7"/>
  <c r="L11" i="9" s="1"/>
  <c r="P11" i="7"/>
  <c r="K12" i="9" s="1"/>
  <c r="Q32" i="7"/>
  <c r="L33" i="9" s="1"/>
  <c r="P9" i="7"/>
  <c r="K10" i="9" s="1"/>
  <c r="Q7" i="7"/>
  <c r="L8" i="9" s="1"/>
  <c r="O27" i="10" s="1"/>
  <c r="P8" i="7"/>
  <c r="K9" i="9" s="1"/>
  <c r="M6" i="10" s="1"/>
  <c r="P7" i="7"/>
  <c r="K8" i="9" s="1"/>
  <c r="O26" i="10" s="1"/>
  <c r="P31" i="7"/>
  <c r="K32" i="9" s="1"/>
  <c r="P22" i="7"/>
  <c r="K23" i="9" s="1"/>
  <c r="Q31" i="7"/>
  <c r="L32" i="9" s="1"/>
  <c r="Q22" i="7"/>
  <c r="L23" i="9" s="1"/>
  <c r="Q8" i="7"/>
  <c r="L9" i="9" s="1"/>
  <c r="P19" i="7"/>
  <c r="K20" i="9" s="1"/>
  <c r="Q19" i="7"/>
  <c r="L20" i="9" s="1"/>
  <c r="Q33" i="7"/>
  <c r="L34" i="9" s="1"/>
  <c r="O23" i="10" s="1"/>
  <c r="Q27" i="7"/>
  <c r="L28" i="9" s="1"/>
  <c r="P32" i="7"/>
  <c r="K33" i="9" s="1"/>
  <c r="P34" i="7"/>
  <c r="K35" i="9" s="1"/>
  <c r="G26" i="10" s="1"/>
  <c r="Q9" i="7"/>
  <c r="L10" i="9" s="1"/>
  <c r="P12" i="7"/>
  <c r="K13" i="9" s="1"/>
  <c r="Q30" i="7"/>
  <c r="L31" i="9" s="1"/>
  <c r="Q18" i="7"/>
  <c r="L19" i="9" s="1"/>
  <c r="Q12" i="7"/>
  <c r="L13" i="9" s="1"/>
  <c r="P20" i="7"/>
  <c r="K21" i="9" s="1"/>
  <c r="Q25" i="7"/>
  <c r="L26" i="9" s="1"/>
  <c r="P25" i="7"/>
  <c r="K26" i="9" s="1"/>
  <c r="Q17" i="7"/>
  <c r="L18" i="9" s="1"/>
  <c r="Q13" i="7"/>
  <c r="L14" i="9" s="1"/>
  <c r="Q21" i="7"/>
  <c r="L22" i="9" s="1"/>
  <c r="P17" i="7"/>
  <c r="K18" i="9" s="1"/>
  <c r="P13" i="7"/>
  <c r="K14" i="9" s="1"/>
  <c r="P21" i="7"/>
  <c r="K22" i="9" s="1"/>
  <c r="Q23" i="7"/>
  <c r="L24" i="9" s="1"/>
  <c r="P27" i="7"/>
  <c r="K28" i="9" s="1"/>
  <c r="P23" i="7"/>
  <c r="K24" i="9" s="1"/>
  <c r="L6" i="9"/>
  <c r="O5" i="10"/>
  <c r="C9" i="10"/>
  <c r="K9" i="10"/>
  <c r="M9" i="10"/>
  <c r="O21" i="10"/>
  <c r="K21" i="10"/>
  <c r="E9" i="10"/>
  <c r="G9" i="10"/>
  <c r="I7" i="10" l="1"/>
  <c r="M27" i="10"/>
  <c r="G6" i="10"/>
  <c r="K26" i="10"/>
  <c r="M7" i="10"/>
  <c r="K27" i="10"/>
  <c r="E7" i="10"/>
  <c r="I27" i="10"/>
  <c r="E5" i="10"/>
  <c r="I25" i="10"/>
  <c r="I5" i="10"/>
  <c r="O22" i="10"/>
  <c r="C14" i="10"/>
  <c r="E14" i="10"/>
  <c r="K5" i="10"/>
  <c r="K22" i="10"/>
  <c r="M23" i="10"/>
  <c r="G18" i="10"/>
  <c r="M22" i="10"/>
  <c r="C26" i="10"/>
  <c r="E26" i="10"/>
  <c r="C27" i="10"/>
  <c r="E27" i="10"/>
  <c r="K23" i="10"/>
  <c r="C11" i="10"/>
  <c r="E10" i="10"/>
  <c r="I15" i="10"/>
  <c r="E19" i="10"/>
  <c r="E11" i="10"/>
  <c r="E18" i="10"/>
  <c r="O10" i="10"/>
  <c r="C22" i="10"/>
  <c r="M15" i="10"/>
  <c r="I19" i="10"/>
  <c r="O18" i="10"/>
  <c r="C15" i="10"/>
  <c r="G15" i="10"/>
  <c r="G14" i="10"/>
  <c r="I11" i="10"/>
  <c r="C18" i="10"/>
  <c r="O11" i="10"/>
  <c r="O19" i="10"/>
  <c r="E15" i="10"/>
  <c r="G10" i="10"/>
  <c r="C23" i="10"/>
  <c r="I10" i="10"/>
  <c r="K19" i="10"/>
  <c r="K14" i="10"/>
  <c r="K15" i="10"/>
  <c r="M18" i="10"/>
  <c r="O15" i="10"/>
  <c r="M10" i="10"/>
  <c r="C19" i="10"/>
  <c r="C10" i="10"/>
  <c r="I6" i="10"/>
  <c r="K6" i="10"/>
  <c r="O6" i="10"/>
  <c r="O14" i="10"/>
  <c r="K11" i="10"/>
  <c r="K18" i="10"/>
  <c r="M14" i="10"/>
  <c r="M19" i="10"/>
  <c r="K7" i="10"/>
  <c r="G7" i="10"/>
  <c r="G11" i="10"/>
  <c r="K10" i="10"/>
  <c r="I14" i="10"/>
  <c r="I18" i="10"/>
  <c r="G19" i="10"/>
  <c r="M11" i="10"/>
  <c r="E22" i="10"/>
  <c r="I22" i="10"/>
  <c r="G22" i="10"/>
  <c r="E23" i="10"/>
  <c r="I23" i="10"/>
  <c r="G23" i="10"/>
  <c r="O7" i="10"/>
</calcChain>
</file>

<file path=xl/sharedStrings.xml><?xml version="1.0" encoding="utf-8"?>
<sst xmlns="http://schemas.openxmlformats.org/spreadsheetml/2006/main" count="318" uniqueCount="172">
  <si>
    <t>月</t>
    <rPh sb="0" eb="1">
      <t>ガツ</t>
    </rPh>
    <phoneticPr fontId="1"/>
  </si>
  <si>
    <t>曜日</t>
    <rPh sb="0" eb="2">
      <t>ヨウビ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</si>
  <si>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</si>
  <si>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</si>
  <si>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学校行事</t>
    <rPh sb="0" eb="2">
      <t>ガッコウ</t>
    </rPh>
    <rPh sb="2" eb="4">
      <t>ギョウジ</t>
    </rPh>
    <phoneticPr fontId="1"/>
  </si>
  <si>
    <t>西　暦：</t>
    <rPh sb="0" eb="1">
      <t>ニシ</t>
    </rPh>
    <rPh sb="2" eb="3">
      <t>コヨミ</t>
    </rPh>
    <phoneticPr fontId="1"/>
  </si>
  <si>
    <t>該当月：</t>
    <rPh sb="0" eb="2">
      <t>ガイトウ</t>
    </rPh>
    <rPh sb="2" eb="3">
      <t>ツキ</t>
    </rPh>
    <phoneticPr fontId="1"/>
  </si>
  <si>
    <t>学習計画</t>
    <rPh sb="0" eb="2">
      <t>ガクシュウ</t>
    </rPh>
    <rPh sb="2" eb="4">
      <t>ケイカク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</si>
  <si>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</si>
  <si>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</si>
  <si>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</si>
  <si>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</si>
  <si>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</si>
  <si>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ツチ</t>
    </rPh>
    <phoneticPr fontId="1"/>
  </si>
  <si>
    <t>項目</t>
    <rPh sb="0" eb="2">
      <t>コウモク</t>
    </rPh>
    <phoneticPr fontId="1"/>
  </si>
  <si>
    <t>p.2～p.3</t>
  </si>
  <si>
    <t>p.4～p.5</t>
  </si>
  <si>
    <t>p.6～p.7</t>
  </si>
  <si>
    <t>p.8～p.9</t>
  </si>
  <si>
    <t>p.10～p.11</t>
  </si>
  <si>
    <t>p.12～p.13</t>
  </si>
  <si>
    <t>p.14～p.15</t>
  </si>
  <si>
    <t>p.16～p.17</t>
  </si>
  <si>
    <t>p.18～p.19</t>
  </si>
  <si>
    <t>p.20～p.21</t>
  </si>
  <si>
    <t>p.22～p.23</t>
  </si>
  <si>
    <t>p.24～p.25</t>
  </si>
  <si>
    <t>p.26～p.27</t>
  </si>
  <si>
    <t>p.28～p.29</t>
  </si>
  <si>
    <t>p.30～p.31</t>
  </si>
  <si>
    <t>p.32～p.33</t>
  </si>
  <si>
    <t>p.34～p.35</t>
  </si>
  <si>
    <t>p.36～p.37</t>
  </si>
  <si>
    <t>p.38～p.39</t>
  </si>
  <si>
    <t>p.40～p.41</t>
  </si>
  <si>
    <t>p.42～p.43</t>
  </si>
  <si>
    <t>p.44～p.45</t>
  </si>
  <si>
    <t>p.46～p.47</t>
  </si>
  <si>
    <t>p.48～p.49</t>
  </si>
  <si>
    <t>p.50～p.51</t>
  </si>
  <si>
    <t>p.52～p.53</t>
  </si>
  <si>
    <t>p.54～p.55</t>
  </si>
  <si>
    <t>p.56～p.57</t>
  </si>
  <si>
    <t>p.58～p.59</t>
  </si>
  <si>
    <t>p.60～p.61</t>
  </si>
  <si>
    <t>国語</t>
    <rPh sb="0" eb="2">
      <t>コクゴ</t>
    </rPh>
    <phoneticPr fontId="1"/>
  </si>
  <si>
    <t>社会</t>
    <rPh sb="0" eb="2">
      <t>シャカイ</t>
    </rPh>
    <phoneticPr fontId="1"/>
  </si>
  <si>
    <t>理科</t>
    <rPh sb="0" eb="2">
      <t>リカ</t>
    </rPh>
    <phoneticPr fontId="1"/>
  </si>
  <si>
    <t>数学</t>
    <rPh sb="0" eb="2">
      <t>スウガク</t>
    </rPh>
    <phoneticPr fontId="1"/>
  </si>
  <si>
    <t>英語</t>
    <rPh sb="0" eb="2">
      <t>エイゴ</t>
    </rPh>
    <phoneticPr fontId="1"/>
  </si>
  <si>
    <t>計画①</t>
    <rPh sb="0" eb="2">
      <t>ケイカク</t>
    </rPh>
    <phoneticPr fontId="1"/>
  </si>
  <si>
    <t>計画②</t>
    <rPh sb="0" eb="2">
      <t>ケイカク</t>
    </rPh>
    <phoneticPr fontId="1"/>
  </si>
  <si>
    <t>計画③</t>
    <rPh sb="0" eb="2">
      <t>ケイカク</t>
    </rPh>
    <phoneticPr fontId="1"/>
  </si>
  <si>
    <t>ま☆ナビ</t>
    <phoneticPr fontId="1"/>
  </si>
  <si>
    <t>№</t>
    <phoneticPr fontId="1"/>
  </si>
  <si>
    <t>パターン</t>
    <phoneticPr fontId="1"/>
  </si>
  <si>
    <t>分量</t>
    <rPh sb="0" eb="2">
      <t>ブンリョウ</t>
    </rPh>
    <phoneticPr fontId="1"/>
  </si>
  <si>
    <t>頁数</t>
    <rPh sb="0" eb="1">
      <t>ページ</t>
    </rPh>
    <rPh sb="1" eb="2">
      <t>スウ</t>
    </rPh>
    <phoneticPr fontId="1"/>
  </si>
  <si>
    <t>開始</t>
    <rPh sb="0" eb="2">
      <t>カイシ</t>
    </rPh>
    <phoneticPr fontId="1"/>
  </si>
  <si>
    <t>教科</t>
    <rPh sb="0" eb="2">
      <t>キョウカ</t>
    </rPh>
    <phoneticPr fontId="1"/>
  </si>
  <si>
    <t>教科順：</t>
    <rPh sb="0" eb="2">
      <t>キョウカ</t>
    </rPh>
    <rPh sb="2" eb="3">
      <t>ジュン</t>
    </rPh>
    <phoneticPr fontId="1"/>
  </si>
  <si>
    <t>開始項目番号：</t>
    <rPh sb="0" eb="2">
      <t>カイシ</t>
    </rPh>
    <rPh sb="2" eb="4">
      <t>コウモク</t>
    </rPh>
    <rPh sb="4" eb="6">
      <t>バンゴウ</t>
    </rPh>
    <phoneticPr fontId="1"/>
  </si>
  <si>
    <t>連続実施数：</t>
    <rPh sb="0" eb="2">
      <t>レンゾク</t>
    </rPh>
    <rPh sb="2" eb="4">
      <t>ジッシ</t>
    </rPh>
    <rPh sb="4" eb="5">
      <t>スウ</t>
    </rPh>
    <phoneticPr fontId="1"/>
  </si>
  <si>
    <t>連続数</t>
    <rPh sb="0" eb="2">
      <t>レンゾク</t>
    </rPh>
    <rPh sb="2" eb="3">
      <t>スウ</t>
    </rPh>
    <phoneticPr fontId="1"/>
  </si>
  <si>
    <t>項目数</t>
    <phoneticPr fontId="1"/>
  </si>
  <si>
    <t>ナビ</t>
    <phoneticPr fontId="1"/>
  </si>
  <si>
    <t>export</t>
    <phoneticPr fontId="1"/>
  </si>
  <si>
    <t>ナビ</t>
    <phoneticPr fontId="1"/>
  </si>
  <si>
    <t>名前</t>
    <rPh sb="0" eb="2">
      <t>ナマエ</t>
    </rPh>
    <phoneticPr fontId="1"/>
  </si>
  <si>
    <t>ま★ナビシステム
学習計画
作成ツール</t>
    <rPh sb="9" eb="11">
      <t>ガクシュウ</t>
    </rPh>
    <rPh sb="11" eb="13">
      <t>ケイカク</t>
    </rPh>
    <rPh sb="14" eb="16">
      <t>サクセイ</t>
    </rPh>
    <phoneticPr fontId="1"/>
  </si>
  <si>
    <t>ま☆ナビシステム　学習計画表作成ツールの使い方</t>
    <rPh sb="9" eb="11">
      <t>ガクシュウ</t>
    </rPh>
    <rPh sb="11" eb="13">
      <t>ケイカク</t>
    </rPh>
    <rPh sb="13" eb="14">
      <t>ヒョウ</t>
    </rPh>
    <rPh sb="14" eb="16">
      <t>サクセイ</t>
    </rPh>
    <rPh sb="20" eb="21">
      <t>ツカ</t>
    </rPh>
    <rPh sb="22" eb="23">
      <t>カタ</t>
    </rPh>
    <phoneticPr fontId="1"/>
  </si>
  <si>
    <t>名前</t>
    <rPh sb="0" eb="2">
      <t>ナマエ</t>
    </rPh>
    <phoneticPr fontId="1"/>
  </si>
  <si>
    <t>※ 学校行事入力欄は任意です。</t>
    <rPh sb="2" eb="4">
      <t>ガッコウ</t>
    </rPh>
    <rPh sb="4" eb="6">
      <t>ギョウジ</t>
    </rPh>
    <rPh sb="6" eb="8">
      <t>ニュウリョク</t>
    </rPh>
    <rPh sb="8" eb="9">
      <t>ラン</t>
    </rPh>
    <rPh sb="10" eb="12">
      <t>ニンイ</t>
    </rPh>
    <phoneticPr fontId="1"/>
  </si>
  <si>
    <t>連続数別　教科パターン抽出表</t>
    <rPh sb="0" eb="2">
      <t>レンゾク</t>
    </rPh>
    <rPh sb="2" eb="3">
      <t>スウ</t>
    </rPh>
    <rPh sb="3" eb="4">
      <t>ベツ</t>
    </rPh>
    <rPh sb="5" eb="7">
      <t>キョウカ</t>
    </rPh>
    <rPh sb="11" eb="13">
      <t>チュウシュツ</t>
    </rPh>
    <rPh sb="13" eb="14">
      <t>ヒョウ</t>
    </rPh>
    <phoneticPr fontId="1"/>
  </si>
  <si>
    <t>前月引継ぎ：</t>
    <rPh sb="0" eb="2">
      <t>ゼンゲツ</t>
    </rPh>
    <rPh sb="2" eb="4">
      <t>ヒキツ</t>
    </rPh>
    <phoneticPr fontId="1"/>
  </si>
  <si>
    <t>当月開始教科：</t>
    <rPh sb="0" eb="2">
      <t>トウゲツ</t>
    </rPh>
    <rPh sb="2" eb="4">
      <t>カイシ</t>
    </rPh>
    <rPh sb="4" eb="6">
      <t>キョウカ</t>
    </rPh>
    <phoneticPr fontId="1"/>
  </si>
  <si>
    <t>当月開始項目：</t>
    <rPh sb="0" eb="2">
      <t>トウゲツ</t>
    </rPh>
    <rPh sb="2" eb="4">
      <t>カイシ</t>
    </rPh>
    <rPh sb="4" eb="6">
      <t>コウモク</t>
    </rPh>
    <phoneticPr fontId="1"/>
  </si>
  <si>
    <t>継続</t>
    <rPh sb="0" eb="2">
      <t>ケイゾク</t>
    </rPh>
    <phoneticPr fontId="1"/>
  </si>
  <si>
    <t>教材</t>
    <rPh sb="0" eb="2">
      <t>キョウザイ</t>
    </rPh>
    <phoneticPr fontId="1"/>
  </si>
  <si>
    <t>検索№</t>
    <rPh sb="0" eb="2">
      <t>ケンサク</t>
    </rPh>
    <phoneticPr fontId="1"/>
  </si>
  <si>
    <t>パターン抽出②-1</t>
    <rPh sb="4" eb="6">
      <t>チュウシュツ</t>
    </rPh>
    <phoneticPr fontId="1"/>
  </si>
  <si>
    <t>パターン抽出②-2</t>
    <rPh sb="4" eb="6">
      <t>チュウシュツ</t>
    </rPh>
    <phoneticPr fontId="1"/>
  </si>
  <si>
    <t>パターン抽出②-4</t>
    <rPh sb="4" eb="6">
      <t>チュウシュツ</t>
    </rPh>
    <phoneticPr fontId="1"/>
  </si>
  <si>
    <t>パターン抽出②-5</t>
    <rPh sb="4" eb="6">
      <t>チュウシュツ</t>
    </rPh>
    <phoneticPr fontId="1"/>
  </si>
  <si>
    <t>パターン抽出②-3</t>
    <rPh sb="4" eb="6">
      <t>チュウシュツ</t>
    </rPh>
    <phoneticPr fontId="1"/>
  </si>
  <si>
    <t>№</t>
    <phoneticPr fontId="1"/>
  </si>
  <si>
    <t>開始№</t>
    <rPh sb="0" eb="2">
      <t>カイシ</t>
    </rPh>
    <phoneticPr fontId="1"/>
  </si>
  <si>
    <t>処理№</t>
    <rPh sb="0" eb="2">
      <t>ショリ</t>
    </rPh>
    <phoneticPr fontId="1"/>
  </si>
  <si>
    <t>開始項目番号：</t>
    <rPh sb="0" eb="2">
      <t>カイシ</t>
    </rPh>
    <rPh sb="2" eb="4">
      <t>コウモク</t>
    </rPh>
    <rPh sb="4" eb="6">
      <t>バンゴウ</t>
    </rPh>
    <phoneticPr fontId="1"/>
  </si>
  <si>
    <t>項目処理№</t>
    <rPh sb="0" eb="2">
      <t>コウモク</t>
    </rPh>
    <rPh sb="2" eb="4">
      <t>ショリ</t>
    </rPh>
    <phoneticPr fontId="1"/>
  </si>
  <si>
    <r>
      <t xml:space="preserve">◆注意◆
</t>
    </r>
    <r>
      <rPr>
        <sz val="12"/>
        <color rgb="FFFF0000"/>
        <rFont val="ＭＳ Ｐゴシック"/>
        <family val="3"/>
        <charset val="128"/>
        <scheme val="minor"/>
      </rPr>
      <t>他シートから内容をコピーする際には，必ず“値貼り付け”(※)をしてください。</t>
    </r>
    <rPh sb="1" eb="3">
      <t>チュウイ</t>
    </rPh>
    <rPh sb="5" eb="6">
      <t>ホカ</t>
    </rPh>
    <rPh sb="11" eb="13">
      <t>ナイヨウ</t>
    </rPh>
    <rPh sb="19" eb="20">
      <t>サイ</t>
    </rPh>
    <rPh sb="23" eb="24">
      <t>カナラ</t>
    </rPh>
    <rPh sb="26" eb="27">
      <t>アタイ</t>
    </rPh>
    <rPh sb="27" eb="28">
      <t>ハ</t>
    </rPh>
    <rPh sb="29" eb="30">
      <t>ツ</t>
    </rPh>
    <phoneticPr fontId="1"/>
  </si>
  <si>
    <t>※コピーしたいセル上で</t>
    <rPh sb="9" eb="10">
      <t>ジョウ</t>
    </rPh>
    <phoneticPr fontId="1"/>
  </si>
  <si>
    <t>　→右クリック</t>
    <rPh sb="2" eb="3">
      <t>ミギ</t>
    </rPh>
    <phoneticPr fontId="1"/>
  </si>
  <si>
    <t>1日に進める</t>
    <rPh sb="1" eb="2">
      <t>ニチ</t>
    </rPh>
    <rPh sb="3" eb="4">
      <t>スス</t>
    </rPh>
    <phoneticPr fontId="1"/>
  </si>
  <si>
    <t>➊ 前月の引き継ぎを行うので，「○」を選択入力してください。</t>
    <rPh sb="2" eb="4">
      <t>ゼンゲツ</t>
    </rPh>
    <rPh sb="5" eb="6">
      <t>ヒ</t>
    </rPh>
    <rPh sb="7" eb="8">
      <t>ツ</t>
    </rPh>
    <rPh sb="10" eb="11">
      <t>オコナ</t>
    </rPh>
    <rPh sb="19" eb="21">
      <t>センタク</t>
    </rPh>
    <rPh sb="21" eb="23">
      <t>ニュウリョク</t>
    </rPh>
    <phoneticPr fontId="1"/>
  </si>
  <si>
    <t>※ 教科順で社会を1番目，英語を２番目，国語を３番目とし（数学，理科は未入力），連続実施数を「1」に設定します。</t>
    <rPh sb="2" eb="4">
      <t>キョウカ</t>
    </rPh>
    <rPh sb="4" eb="5">
      <t>ジュン</t>
    </rPh>
    <rPh sb="6" eb="8">
      <t>シャカイ</t>
    </rPh>
    <rPh sb="10" eb="11">
      <t>バン</t>
    </rPh>
    <rPh sb="11" eb="12">
      <t>メ</t>
    </rPh>
    <rPh sb="13" eb="15">
      <t>エイゴ</t>
    </rPh>
    <rPh sb="17" eb="19">
      <t>バンメ</t>
    </rPh>
    <rPh sb="20" eb="22">
      <t>コクゴ</t>
    </rPh>
    <rPh sb="24" eb="26">
      <t>バンメ</t>
    </rPh>
    <rPh sb="29" eb="31">
      <t>スウガク</t>
    </rPh>
    <rPh sb="32" eb="34">
      <t>リカ</t>
    </rPh>
    <rPh sb="35" eb="38">
      <t>ミニュウリョク</t>
    </rPh>
    <rPh sb="40" eb="42">
      <t>レンゾク</t>
    </rPh>
    <rPh sb="42" eb="44">
      <t>ジッシ</t>
    </rPh>
    <rPh sb="44" eb="45">
      <t>スウ</t>
    </rPh>
    <rPh sb="50" eb="52">
      <t>セッテイ</t>
    </rPh>
    <phoneticPr fontId="1"/>
  </si>
  <si>
    <t>※ 教科順を国社数理英の順に1番目から5番目までとし，連続実施数を「1」に設定します。</t>
    <rPh sb="2" eb="4">
      <t>キョウカ</t>
    </rPh>
    <rPh sb="4" eb="5">
      <t>ジュン</t>
    </rPh>
    <rPh sb="6" eb="7">
      <t>コク</t>
    </rPh>
    <rPh sb="7" eb="8">
      <t>シャ</t>
    </rPh>
    <rPh sb="8" eb="10">
      <t>スウリ</t>
    </rPh>
    <rPh sb="10" eb="11">
      <t>エイ</t>
    </rPh>
    <rPh sb="12" eb="13">
      <t>ジュン</t>
    </rPh>
    <rPh sb="15" eb="16">
      <t>バン</t>
    </rPh>
    <rPh sb="16" eb="17">
      <t>メ</t>
    </rPh>
    <rPh sb="20" eb="22">
      <t>バンメ</t>
    </rPh>
    <rPh sb="27" eb="29">
      <t>レンゾク</t>
    </rPh>
    <rPh sb="29" eb="31">
      <t>ジッシ</t>
    </rPh>
    <rPh sb="31" eb="32">
      <t>スウ</t>
    </rPh>
    <rPh sb="37" eb="39">
      <t>セッテイ</t>
    </rPh>
    <phoneticPr fontId="1"/>
  </si>
  <si>
    <t>使用例1）　国語【１】 → 社会【１】 → 数学【１】 → 理科【１】 → 英語【１】 → 国語【２】 → 社会【２】 → 数学【２】 → 理科【２】 …</t>
    <rPh sb="0" eb="2">
      <t>シヨウ</t>
    </rPh>
    <rPh sb="2" eb="3">
      <t>レイ</t>
    </rPh>
    <rPh sb="6" eb="8">
      <t>コクゴ</t>
    </rPh>
    <rPh sb="14" eb="16">
      <t>シャカイ</t>
    </rPh>
    <rPh sb="22" eb="24">
      <t>スウガク</t>
    </rPh>
    <rPh sb="30" eb="32">
      <t>リカ</t>
    </rPh>
    <rPh sb="38" eb="40">
      <t>エイゴ</t>
    </rPh>
    <rPh sb="46" eb="48">
      <t>コクゴ</t>
    </rPh>
    <rPh sb="62" eb="64">
      <t>スウガク</t>
    </rPh>
    <rPh sb="70" eb="72">
      <t>リカ</t>
    </rPh>
    <phoneticPr fontId="1"/>
  </si>
  <si>
    <t>使用例2）　社会【１】 → 英語【１】 → 国語【１】 → 社会【２】 → 英語【２】 → 国語【２】 → 社会【３】 → 英語【３】 → 国語【３】 …</t>
    <rPh sb="0" eb="2">
      <t>シヨウ</t>
    </rPh>
    <rPh sb="2" eb="3">
      <t>レイ</t>
    </rPh>
    <rPh sb="6" eb="8">
      <t>シャカイ</t>
    </rPh>
    <rPh sb="14" eb="16">
      <t>エイゴ</t>
    </rPh>
    <rPh sb="22" eb="24">
      <t>コクゴ</t>
    </rPh>
    <rPh sb="30" eb="32">
      <t>シャカイ</t>
    </rPh>
    <rPh sb="38" eb="40">
      <t>エイゴ</t>
    </rPh>
    <rPh sb="46" eb="48">
      <t>コクゴ</t>
    </rPh>
    <rPh sb="70" eb="72">
      <t>コクゴ</t>
    </rPh>
    <phoneticPr fontId="1"/>
  </si>
  <si>
    <r>
      <t>(2) 必要事項入力　</t>
    </r>
    <r>
      <rPr>
        <sz val="10"/>
        <color theme="1"/>
        <rFont val="ＭＳ Ｐゴシック"/>
        <family val="3"/>
        <charset val="128"/>
        <scheme val="minor"/>
      </rPr>
      <t>※【番号】は「ま★ナビ」の項目番号を示しています。</t>
    </r>
    <rPh sb="4" eb="6">
      <t>ヒツヨウ</t>
    </rPh>
    <rPh sb="6" eb="8">
      <t>ジコウ</t>
    </rPh>
    <rPh sb="8" eb="10">
      <t>ニュウリョク</t>
    </rPh>
    <phoneticPr fontId="1"/>
  </si>
  <si>
    <t>(1) 各種設定の入力</t>
    <rPh sb="4" eb="6">
      <t>カクシュ</t>
    </rPh>
    <rPh sb="6" eb="8">
      <t>セッテイ</t>
    </rPh>
    <rPh sb="9" eb="11">
      <t>ニュウリョク</t>
    </rPh>
    <phoneticPr fontId="1"/>
  </si>
  <si>
    <t>(3) フリー入力</t>
    <rPh sb="7" eb="9">
      <t>ニュウリョク</t>
    </rPh>
    <phoneticPr fontId="1"/>
  </si>
  <si>
    <t>自由に予定表を作成することのできるシートです。</t>
    <rPh sb="0" eb="2">
      <t>ジユウ</t>
    </rPh>
    <rPh sb="3" eb="5">
      <t>ヨテイ</t>
    </rPh>
    <rPh sb="5" eb="6">
      <t>ヒョウ</t>
    </rPh>
    <rPh sb="7" eb="9">
      <t>サクセイ</t>
    </rPh>
    <phoneticPr fontId="1"/>
  </si>
  <si>
    <t>最初に「設定入力」シートで各種設定を行います。</t>
    <rPh sb="0" eb="2">
      <t>サイショ</t>
    </rPh>
    <rPh sb="4" eb="6">
      <t>セッテイ</t>
    </rPh>
    <rPh sb="6" eb="8">
      <t>ニュウリョク</t>
    </rPh>
    <rPh sb="13" eb="15">
      <t>カクシュ</t>
    </rPh>
    <rPh sb="15" eb="17">
      <t>セッテイ</t>
    </rPh>
    <rPh sb="18" eb="19">
      <t>オコナ</t>
    </rPh>
    <phoneticPr fontId="1"/>
  </si>
  <si>
    <t>(4) プリントアウト</t>
    <phoneticPr fontId="1"/>
  </si>
  <si>
    <t>※シート外からコピーしたものを貼り付ける場合，「値を貼り付ける」を使用してください。</t>
    <rPh sb="4" eb="5">
      <t>ガイ</t>
    </rPh>
    <rPh sb="15" eb="16">
      <t>ハ</t>
    </rPh>
    <rPh sb="17" eb="18">
      <t>ツ</t>
    </rPh>
    <rPh sb="20" eb="22">
      <t>バアイ</t>
    </rPh>
    <rPh sb="24" eb="25">
      <t>アタイ</t>
    </rPh>
    <rPh sb="26" eb="27">
      <t>ハ</t>
    </rPh>
    <rPh sb="28" eb="29">
      <t>ツ</t>
    </rPh>
    <rPh sb="33" eb="35">
      <t>シヨウ</t>
    </rPh>
    <phoneticPr fontId="1"/>
  </si>
  <si>
    <t>1・2年の基礎ナビ</t>
    <rPh sb="3" eb="4">
      <t>ネン</t>
    </rPh>
    <rPh sb="5" eb="7">
      <t>キソ</t>
    </rPh>
    <phoneticPr fontId="1"/>
  </si>
  <si>
    <t>1・2年のトレナビ</t>
    <rPh sb="3" eb="4">
      <t>ネン</t>
    </rPh>
    <phoneticPr fontId="1"/>
  </si>
  <si>
    <t>⑤ 各教科いくつかの項目をまとめて学習する場合は，教科ごとに学習する項目数を1～5の範囲で決めてください。</t>
    <rPh sb="2" eb="5">
      <t>カクキョウカ</t>
    </rPh>
    <rPh sb="10" eb="12">
      <t>コウモク</t>
    </rPh>
    <rPh sb="17" eb="19">
      <t>ガクシュウ</t>
    </rPh>
    <rPh sb="21" eb="23">
      <t>バアイ</t>
    </rPh>
    <phoneticPr fontId="1"/>
  </si>
  <si>
    <t>※ 教科順を国社数理英の順に1番目から5番目までとし，連続実施数を「2」に設定します。</t>
    <rPh sb="2" eb="4">
      <t>キョウカ</t>
    </rPh>
    <rPh sb="4" eb="5">
      <t>ジュン</t>
    </rPh>
    <rPh sb="6" eb="7">
      <t>コク</t>
    </rPh>
    <rPh sb="7" eb="8">
      <t>シャ</t>
    </rPh>
    <rPh sb="8" eb="10">
      <t>スウリ</t>
    </rPh>
    <rPh sb="10" eb="11">
      <t>エイ</t>
    </rPh>
    <rPh sb="12" eb="13">
      <t>ジュン</t>
    </rPh>
    <rPh sb="15" eb="16">
      <t>バン</t>
    </rPh>
    <rPh sb="16" eb="17">
      <t>メ</t>
    </rPh>
    <rPh sb="20" eb="22">
      <t>バンメ</t>
    </rPh>
    <rPh sb="27" eb="29">
      <t>レンゾク</t>
    </rPh>
    <rPh sb="29" eb="31">
      <t>ジッシ</t>
    </rPh>
    <rPh sb="31" eb="32">
      <t>スウ</t>
    </rPh>
    <rPh sb="37" eb="39">
      <t>セッテイ</t>
    </rPh>
    <phoneticPr fontId="1"/>
  </si>
  <si>
    <t>使用例3）　国語【１】 → 国語【２】 → 社会【１】 → 社会【２】 → 数学【１】 → 数学【２】 → 理科【１】 → 理科【２】 → 英語【１】 …</t>
    <rPh sb="0" eb="2">
      <t>シヨウ</t>
    </rPh>
    <rPh sb="2" eb="3">
      <t>レイ</t>
    </rPh>
    <rPh sb="6" eb="8">
      <t>コクゴ</t>
    </rPh>
    <rPh sb="14" eb="16">
      <t>コクゴ</t>
    </rPh>
    <rPh sb="22" eb="24">
      <t>シャカイ</t>
    </rPh>
    <rPh sb="30" eb="32">
      <t>シャカイ</t>
    </rPh>
    <rPh sb="38" eb="40">
      <t>スウガク</t>
    </rPh>
    <rPh sb="46" eb="48">
      <t>スウガク</t>
    </rPh>
    <rPh sb="54" eb="56">
      <t>リカ</t>
    </rPh>
    <rPh sb="62" eb="64">
      <t>リカ</t>
    </rPh>
    <rPh sb="70" eb="72">
      <t>エイゴ</t>
    </rPh>
    <phoneticPr fontId="1"/>
  </si>
  <si>
    <t>※ 教科順で数学を１番目，英語を２番目とし（他の教科は未入力），連続実施数を「3」に設定します。</t>
    <rPh sb="2" eb="4">
      <t>キョウカ</t>
    </rPh>
    <rPh sb="4" eb="5">
      <t>ジュン</t>
    </rPh>
    <rPh sb="6" eb="8">
      <t>スウガク</t>
    </rPh>
    <rPh sb="10" eb="12">
      <t>バンメ</t>
    </rPh>
    <rPh sb="13" eb="15">
      <t>エイゴ</t>
    </rPh>
    <rPh sb="17" eb="19">
      <t>バンメ</t>
    </rPh>
    <rPh sb="22" eb="23">
      <t>ホカ</t>
    </rPh>
    <rPh sb="24" eb="26">
      <t>キョウカ</t>
    </rPh>
    <rPh sb="27" eb="30">
      <t>ミニュウリョク</t>
    </rPh>
    <rPh sb="32" eb="34">
      <t>レンゾク</t>
    </rPh>
    <rPh sb="34" eb="36">
      <t>ジッシ</t>
    </rPh>
    <rPh sb="36" eb="37">
      <t>スウ</t>
    </rPh>
    <rPh sb="42" eb="44">
      <t>セッテイ</t>
    </rPh>
    <phoneticPr fontId="1"/>
  </si>
  <si>
    <t>使用例4）　数学【１】 → 数学【２】 → 数学【３】 → 英語【１】 → 英語【２】 → 英語【３】 → 数学【４】 → 数学【５】 → 数学【６】 …</t>
    <rPh sb="0" eb="2">
      <t>シヨウ</t>
    </rPh>
    <rPh sb="2" eb="3">
      <t>レイ</t>
    </rPh>
    <rPh sb="46" eb="48">
      <t>エイゴ</t>
    </rPh>
    <rPh sb="54" eb="56">
      <t>スウガク</t>
    </rPh>
    <rPh sb="62" eb="64">
      <t>スウガク</t>
    </rPh>
    <rPh sb="70" eb="72">
      <t>スウガク</t>
    </rPh>
    <phoneticPr fontId="1"/>
  </si>
  <si>
    <t>limit:</t>
    <phoneticPr fontId="1"/>
  </si>
  <si>
    <t>(2)，(3)で入力した必要事項が反映されています。</t>
    <rPh sb="8" eb="10">
      <t>ニュウリョク</t>
    </rPh>
    <rPh sb="12" eb="14">
      <t>ヒツヨウ</t>
    </rPh>
    <rPh sb="14" eb="16">
      <t>ジコウ</t>
    </rPh>
    <rPh sb="17" eb="19">
      <t>ハンエイ</t>
    </rPh>
    <phoneticPr fontId="1"/>
  </si>
  <si>
    <t>初手ダブルナビ</t>
    <rPh sb="0" eb="2">
      <t>ショテ</t>
    </rPh>
    <phoneticPr fontId="1"/>
  </si>
  <si>
    <t>ふり返り１</t>
    <rPh sb="2" eb="3">
      <t>カエ</t>
    </rPh>
    <phoneticPr fontId="1"/>
  </si>
  <si>
    <t>ふり返り２</t>
    <rPh sb="2" eb="3">
      <t>カエ</t>
    </rPh>
    <phoneticPr fontId="1"/>
  </si>
  <si>
    <t>ふり返り３</t>
    <rPh sb="2" eb="3">
      <t>カエ</t>
    </rPh>
    <phoneticPr fontId="1"/>
  </si>
  <si>
    <t>ふり返り４</t>
    <rPh sb="2" eb="3">
      <t>カエ</t>
    </rPh>
    <phoneticPr fontId="1"/>
  </si>
  <si>
    <t>ふり返り５</t>
    <rPh sb="2" eb="3">
      <t>カエ</t>
    </rPh>
    <phoneticPr fontId="1"/>
  </si>
  <si>
    <t>p.4～p.7</t>
    <phoneticPr fontId="1"/>
  </si>
  <si>
    <t>p.8～p.11</t>
    <phoneticPr fontId="1"/>
  </si>
  <si>
    <t>p.12～p.15</t>
    <phoneticPr fontId="1"/>
  </si>
  <si>
    <t>p.16～p.19</t>
    <phoneticPr fontId="1"/>
  </si>
  <si>
    <t>p.20～p.21</t>
    <phoneticPr fontId="1"/>
  </si>
  <si>
    <t>p.22～p.25</t>
    <phoneticPr fontId="1"/>
  </si>
  <si>
    <t>p.26～p.29</t>
    <phoneticPr fontId="1"/>
  </si>
  <si>
    <t>p.30～p.33</t>
    <phoneticPr fontId="1"/>
  </si>
  <si>
    <t>p.34～p.37</t>
    <phoneticPr fontId="1"/>
  </si>
  <si>
    <t>p.38～p.39</t>
    <phoneticPr fontId="1"/>
  </si>
  <si>
    <t>p.40～p.43</t>
    <phoneticPr fontId="1"/>
  </si>
  <si>
    <t>p.44～p.47</t>
    <phoneticPr fontId="1"/>
  </si>
  <si>
    <t>p.48～p.51</t>
    <phoneticPr fontId="1"/>
  </si>
  <si>
    <t>p.52～p.55</t>
    <phoneticPr fontId="1"/>
  </si>
  <si>
    <t>p.56～p.57</t>
    <phoneticPr fontId="1"/>
  </si>
  <si>
    <t>p.58～p.61</t>
    <phoneticPr fontId="1"/>
  </si>
  <si>
    <t>p.62～p.65</t>
    <phoneticPr fontId="1"/>
  </si>
  <si>
    <t>p.66～p.69</t>
    <phoneticPr fontId="1"/>
  </si>
  <si>
    <t>p.70～p.73</t>
    <phoneticPr fontId="1"/>
  </si>
  <si>
    <t>p.74～p.75</t>
    <phoneticPr fontId="1"/>
  </si>
  <si>
    <t>p.76～p.79</t>
    <phoneticPr fontId="1"/>
  </si>
  <si>
    <t>p.80～p.83</t>
    <phoneticPr fontId="1"/>
  </si>
  <si>
    <t>p.84～p.87</t>
    <phoneticPr fontId="1"/>
  </si>
  <si>
    <t>p.88～p.91</t>
    <phoneticPr fontId="1"/>
  </si>
  <si>
    <t>p.92～p.93</t>
    <phoneticPr fontId="1"/>
  </si>
  <si>
    <t>1・2年のダブルナビ</t>
    <rPh sb="3" eb="4">
      <t>ネン</t>
    </rPh>
    <phoneticPr fontId="1"/>
  </si>
  <si>
    <t>パターン抽出②w-2</t>
    <rPh sb="4" eb="6">
      <t>チュウシュツ</t>
    </rPh>
    <phoneticPr fontId="1"/>
  </si>
  <si>
    <t>パターン抽出②w-3</t>
    <rPh sb="4" eb="6">
      <t>チュウシュツ</t>
    </rPh>
    <phoneticPr fontId="1"/>
  </si>
  <si>
    <t>パターン抽出②w-4</t>
    <rPh sb="4" eb="6">
      <t>チュウシュツ</t>
    </rPh>
    <phoneticPr fontId="1"/>
  </si>
  <si>
    <t>パターン抽出②w-5</t>
    <rPh sb="4" eb="6">
      <t>チュウシュツ</t>
    </rPh>
    <phoneticPr fontId="1"/>
  </si>
  <si>
    <t>パターン抽出②w-1</t>
    <rPh sb="4" eb="6">
      <t>チュウシュツ</t>
    </rPh>
    <phoneticPr fontId="1"/>
  </si>
  <si>
    <t>W開始№</t>
    <rPh sb="1" eb="3">
      <t>カイシ</t>
    </rPh>
    <phoneticPr fontId="1"/>
  </si>
  <si>
    <t>Ｗナビ</t>
    <phoneticPr fontId="1"/>
  </si>
  <si>
    <t>Wナビ</t>
    <phoneticPr fontId="1"/>
  </si>
  <si>
    <t>開始W</t>
    <rPh sb="0" eb="2">
      <t>カイシ</t>
    </rPh>
    <phoneticPr fontId="1"/>
  </si>
  <si>
    <t>継続W</t>
    <rPh sb="0" eb="2">
      <t>ケイゾク</t>
    </rPh>
    <phoneticPr fontId="1"/>
  </si>
  <si>
    <t>⑦ 前の月の学習計画から継続して使う際に使用する欄です。詳細は下部（※）をご覧ください。</t>
    <rPh sb="2" eb="3">
      <t>マエ</t>
    </rPh>
    <rPh sb="4" eb="5">
      <t>ツキ</t>
    </rPh>
    <rPh sb="6" eb="8">
      <t>ガクシュウ</t>
    </rPh>
    <rPh sb="8" eb="10">
      <t>ケイカク</t>
    </rPh>
    <rPh sb="12" eb="14">
      <t>ケイゾク</t>
    </rPh>
    <rPh sb="16" eb="17">
      <t>ツカ</t>
    </rPh>
    <rPh sb="18" eb="19">
      <t>サイ</t>
    </rPh>
    <rPh sb="20" eb="22">
      <t>シヨウ</t>
    </rPh>
    <phoneticPr fontId="1"/>
  </si>
  <si>
    <t>➋ ➊で「○」を選択入力すると，1・2年の（ダブル）ナビの欄と，当月開始教科の欄と，当月開始項目の欄が表示されます。</t>
    <rPh sb="8" eb="10">
      <t>センタク</t>
    </rPh>
    <rPh sb="10" eb="12">
      <t>ニュウリョク</t>
    </rPh>
    <rPh sb="32" eb="34">
      <t>トウゲツ</t>
    </rPh>
    <rPh sb="34" eb="36">
      <t>カイシ</t>
    </rPh>
    <rPh sb="36" eb="38">
      <t>キョウカ</t>
    </rPh>
    <rPh sb="39" eb="40">
      <t>ラン</t>
    </rPh>
    <rPh sb="51" eb="53">
      <t>ヒョウジ</t>
    </rPh>
    <phoneticPr fontId="1"/>
  </si>
  <si>
    <t>　「1・2年の基礎ナビ」，「1・2年のトレナビ」，「1・2年のダブルナビ」の学習をする場合はそれぞれの欄に「○」を選択入力</t>
    <rPh sb="29" eb="30">
      <t>ネン</t>
    </rPh>
    <phoneticPr fontId="1"/>
  </si>
  <si>
    <t>　してください。</t>
    <phoneticPr fontId="1"/>
  </si>
  <si>
    <t>　また，その月に始める教科と項目番号を入力してください。</t>
    <phoneticPr fontId="1"/>
  </si>
  <si>
    <t>　　※前月の最後に実施した教科・項目番号の次に実施する教科・項目番号を入力してください。</t>
    <rPh sb="3" eb="5">
      <t>ゼンゲツ</t>
    </rPh>
    <rPh sb="6" eb="8">
      <t>サイゴ</t>
    </rPh>
    <rPh sb="9" eb="11">
      <t>ジッシ</t>
    </rPh>
    <rPh sb="13" eb="15">
      <t>キョウカ</t>
    </rPh>
    <rPh sb="16" eb="18">
      <t>コウモク</t>
    </rPh>
    <rPh sb="18" eb="20">
      <t>バンゴウ</t>
    </rPh>
    <rPh sb="21" eb="22">
      <t>ツギ</t>
    </rPh>
    <rPh sb="23" eb="25">
      <t>ジッシ</t>
    </rPh>
    <rPh sb="27" eb="29">
      <t>キョウカ</t>
    </rPh>
    <phoneticPr fontId="1"/>
  </si>
  <si>
    <t>➌ 変更しないでください。変更してしまうと前月の設定が変更されてしまう為，正しく引き継ぎができなくなります。</t>
    <phoneticPr fontId="1"/>
  </si>
  <si>
    <t>（※）前月からの継続使用の使用方法</t>
    <rPh sb="3" eb="5">
      <t>ゼンゲツ</t>
    </rPh>
    <rPh sb="8" eb="10">
      <t>ケイゾク</t>
    </rPh>
    <rPh sb="10" eb="12">
      <t>シヨウ</t>
    </rPh>
    <rPh sb="13" eb="15">
      <t>シヨウ</t>
    </rPh>
    <rPh sb="15" eb="17">
      <t>ホウホウ</t>
    </rPh>
    <phoneticPr fontId="1"/>
  </si>
  <si>
    <r>
      <t xml:space="preserve">① </t>
    </r>
    <r>
      <rPr>
        <b/>
        <sz val="12"/>
        <color rgb="FFFF0000"/>
        <rFont val="ＭＳ Ｐゴシック"/>
        <family val="3"/>
        <charset val="128"/>
        <scheme val="minor"/>
      </rPr>
      <t>西暦と月を入力してください。</t>
    </r>
    <r>
      <rPr>
        <sz val="12"/>
        <color rgb="FFFF0000"/>
        <rFont val="ＭＳ Ｐゴシック"/>
        <family val="3"/>
        <charset val="128"/>
        <scheme val="minor"/>
      </rPr>
      <t>日付と曜日が自動入力されます。</t>
    </r>
    <rPh sb="2" eb="4">
      <t>セイレキ</t>
    </rPh>
    <rPh sb="5" eb="6">
      <t>ツキ</t>
    </rPh>
    <rPh sb="7" eb="9">
      <t>ニュウリョク</t>
    </rPh>
    <rPh sb="16" eb="18">
      <t>ヒヅケ</t>
    </rPh>
    <rPh sb="19" eb="21">
      <t>ヨウビ</t>
    </rPh>
    <rPh sb="22" eb="24">
      <t>ジドウ</t>
    </rPh>
    <rPh sb="24" eb="26">
      <t>ニュウリョク</t>
    </rPh>
    <phoneticPr fontId="1"/>
  </si>
  <si>
    <r>
      <t>③ 「1・2年の基礎ナビ」，「1・2年のトレナビ」，「1・2年のダブルナビ」の学習をする場合は</t>
    </r>
    <r>
      <rPr>
        <b/>
        <sz val="12"/>
        <color rgb="FFFF0000"/>
        <rFont val="ＭＳ Ｐゴシック"/>
        <family val="3"/>
        <charset val="128"/>
        <scheme val="minor"/>
      </rPr>
      <t>該当欄に「○」を選択入力</t>
    </r>
    <r>
      <rPr>
        <sz val="12"/>
        <color rgb="FFFF0000"/>
        <rFont val="ＭＳ Ｐゴシック"/>
        <family val="3"/>
        <charset val="128"/>
        <scheme val="minor"/>
      </rPr>
      <t>してください。</t>
    </r>
    <rPh sb="6" eb="7">
      <t>ネン</t>
    </rPh>
    <rPh sb="8" eb="10">
      <t>キソ</t>
    </rPh>
    <rPh sb="18" eb="19">
      <t>ネン</t>
    </rPh>
    <rPh sb="30" eb="31">
      <t>ネン</t>
    </rPh>
    <rPh sb="39" eb="41">
      <t>ガクシュウ</t>
    </rPh>
    <rPh sb="55" eb="57">
      <t>センタク</t>
    </rPh>
    <rPh sb="57" eb="59">
      <t>ニュウリョク</t>
    </rPh>
    <phoneticPr fontId="1"/>
  </si>
  <si>
    <r>
      <t>④ 最初に学習する「ま★ナビ」の</t>
    </r>
    <r>
      <rPr>
        <b/>
        <sz val="12"/>
        <color rgb="FFFF0000"/>
        <rFont val="ＭＳ Ｐゴシック"/>
        <family val="3"/>
        <charset val="128"/>
        <scheme val="minor"/>
      </rPr>
      <t>項目番号を選択入力</t>
    </r>
    <r>
      <rPr>
        <sz val="12"/>
        <color rgb="FFFF0000"/>
        <rFont val="ＭＳ Ｐゴシック"/>
        <family val="3"/>
        <charset val="128"/>
        <scheme val="minor"/>
      </rPr>
      <t>してください。未記入の際は１からとなります。</t>
    </r>
    <rPh sb="2" eb="4">
      <t>サイショ</t>
    </rPh>
    <rPh sb="5" eb="7">
      <t>ガクシュウ</t>
    </rPh>
    <rPh sb="16" eb="18">
      <t>コウモク</t>
    </rPh>
    <rPh sb="18" eb="20">
      <t>バンゴウ</t>
    </rPh>
    <rPh sb="21" eb="23">
      <t>センタク</t>
    </rPh>
    <rPh sb="23" eb="25">
      <t>ニュウリョク</t>
    </rPh>
    <rPh sb="32" eb="35">
      <t>ミキニュウ</t>
    </rPh>
    <rPh sb="36" eb="37">
      <t>サイ</t>
    </rPh>
    <phoneticPr fontId="1"/>
  </si>
  <si>
    <r>
      <t xml:space="preserve">⑥ </t>
    </r>
    <r>
      <rPr>
        <b/>
        <sz val="12"/>
        <color rgb="FFFF0000"/>
        <rFont val="ＭＳ Ｐゴシック"/>
        <family val="3"/>
        <charset val="128"/>
        <scheme val="minor"/>
      </rPr>
      <t>1日に進める項目数</t>
    </r>
    <r>
      <rPr>
        <sz val="12"/>
        <color rgb="FFFF0000"/>
        <rFont val="ＭＳ Ｐゴシック"/>
        <family val="3"/>
        <charset val="128"/>
        <scheme val="minor"/>
      </rPr>
      <t>を決めてください（上限3）。学習しない場合は数字の「0」を入力してください。</t>
    </r>
    <rPh sb="3" eb="4">
      <t>ニチ</t>
    </rPh>
    <rPh sb="5" eb="6">
      <t>スス</t>
    </rPh>
    <rPh sb="8" eb="11">
      <t>コウモクスウ</t>
    </rPh>
    <rPh sb="12" eb="13">
      <t>キ</t>
    </rPh>
    <phoneticPr fontId="1"/>
  </si>
  <si>
    <r>
      <t>それぞれの対応する出力シートにて，</t>
    </r>
    <r>
      <rPr>
        <sz val="12"/>
        <color rgb="FFFF0000"/>
        <rFont val="ＭＳ Ｐゴシック"/>
        <family val="3"/>
        <charset val="128"/>
        <scheme val="minor"/>
      </rPr>
      <t>印刷範囲を設定の後</t>
    </r>
    <r>
      <rPr>
        <sz val="12"/>
        <color theme="1"/>
        <rFont val="ＭＳ Ｐゴシック"/>
        <family val="3"/>
        <charset val="128"/>
        <scheme val="minor"/>
      </rPr>
      <t>，プリントアウトしてください。</t>
    </r>
    <rPh sb="5" eb="7">
      <t>タイオウ</t>
    </rPh>
    <rPh sb="9" eb="11">
      <t>シュツリョク</t>
    </rPh>
    <rPh sb="17" eb="19">
      <t>インサツ</t>
    </rPh>
    <rPh sb="19" eb="21">
      <t>ハンイ</t>
    </rPh>
    <rPh sb="22" eb="24">
      <t>セッテイ</t>
    </rPh>
    <rPh sb="25" eb="26">
      <t>ノチ</t>
    </rPh>
    <phoneticPr fontId="1"/>
  </si>
  <si>
    <r>
      <t>② 学習する</t>
    </r>
    <r>
      <rPr>
        <b/>
        <sz val="12"/>
        <color rgb="FFFF0000"/>
        <rFont val="ＭＳ Ｐゴシック"/>
        <family val="3"/>
        <charset val="128"/>
        <scheme val="minor"/>
      </rPr>
      <t>教科の順番</t>
    </r>
    <r>
      <rPr>
        <sz val="12"/>
        <color rgb="FFFF0000"/>
        <rFont val="ＭＳ Ｐゴシック"/>
        <family val="3"/>
        <charset val="128"/>
        <scheme val="minor"/>
      </rPr>
      <t>を決めてください。２教科，３教科のみなどの使用も可能です。（使用例2・4参照）</t>
    </r>
    <rPh sb="2" eb="4">
      <t>ガクシュウ</t>
    </rPh>
    <rPh sb="6" eb="8">
      <t>キョウカ</t>
    </rPh>
    <rPh sb="9" eb="11">
      <t>ジュンバン</t>
    </rPh>
    <rPh sb="12" eb="13">
      <t>キ</t>
    </rPh>
    <rPh sb="21" eb="23">
      <t>キョウカ</t>
    </rPh>
    <rPh sb="25" eb="27">
      <t>キョウカ</t>
    </rPh>
    <rPh sb="32" eb="34">
      <t>シヨウ</t>
    </rPh>
    <rPh sb="35" eb="37">
      <t>カノウ</t>
    </rPh>
    <rPh sb="41" eb="44">
      <t>シヨウレイ</t>
    </rPh>
    <rPh sb="47" eb="49">
      <t>サンショウ</t>
    </rPh>
    <phoneticPr fontId="1"/>
  </si>
  <si>
    <t>　選択がない場合は，ナビ（緑，白，青，赤ナビ）の内容になります。</t>
    <rPh sb="1" eb="3">
      <t>センタク</t>
    </rPh>
    <rPh sb="6" eb="8">
      <t>バアイ</t>
    </rPh>
    <rPh sb="13" eb="14">
      <t>ミドリ</t>
    </rPh>
    <rPh sb="15" eb="16">
      <t>シロ</t>
    </rPh>
    <rPh sb="17" eb="18">
      <t>アオ</t>
    </rPh>
    <rPh sb="19" eb="20">
      <t>アカ</t>
    </rPh>
    <rPh sb="24" eb="26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</si>
</sst>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aaa"/>
    <numFmt numFmtId="177" formatCode="yyyy/m/d;@"/>
    <numFmt numFmtId="178" formatCode="d"/>
    <numFmt numFmtId="179" formatCode="yyyy&quot;年&quot;m&quot;月&quot;;@"/>
    <numFmt numFmtId="180" formatCode="##&quot;番目&quot;"/>
    <numFmt numFmtId="181" formatCode="yyyy&quot;年&quot;m&quot;月度&quot;"/>
    <numFmt numFmtId="182" formatCode="&quot;ま★ナビシステム　&quot;m&quot;月度 学習計画表&quot;"/>
  </numFmts>
  <fonts count="4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24"/>
      <color theme="3" tint="0.39997558519241921"/>
      <name val="ＭＳ Ｐゴシック"/>
      <family val="3"/>
      <charset val="128"/>
      <scheme val="minor"/>
    </font>
    <font>
      <b/>
      <sz val="24"/>
      <color theme="5" tint="0.3999755851924192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9" tint="0.79998168889431442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6" tint="0.79998168889431442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4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1"/>
      <color theme="8" tint="0.79998168889431442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6" tint="0.79998168889431442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2"/>
      <color rgb="FF0070C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28"/>
      <color theme="6" tint="0.79998168889431442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7" xfId="0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5" borderId="0" xfId="0" applyFill="1">
      <alignment vertical="center"/>
    </xf>
    <xf numFmtId="0" fontId="0" fillId="5" borderId="1" xfId="0" applyFill="1" applyBorder="1" applyAlignment="1">
      <alignment horizontal="center" vertical="center"/>
    </xf>
    <xf numFmtId="56" fontId="0" fillId="5" borderId="0" xfId="0" applyNumberFormat="1" applyFill="1">
      <alignment vertical="center"/>
    </xf>
    <xf numFmtId="0" fontId="0" fillId="5" borderId="0" xfId="0" applyFill="1" applyAlignment="1">
      <alignment horizontal="right" vertical="center"/>
    </xf>
    <xf numFmtId="14" fontId="9" fillId="5" borderId="0" xfId="0" applyNumberFormat="1" applyFont="1" applyFill="1" applyAlignment="1" applyProtection="1">
      <alignment vertical="center" shrinkToFit="1"/>
      <protection hidden="1"/>
    </xf>
    <xf numFmtId="176" fontId="0" fillId="5" borderId="1" xfId="0" applyNumberForma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>
      <alignment vertical="center"/>
    </xf>
    <xf numFmtId="0" fontId="13" fillId="5" borderId="0" xfId="0" applyFont="1" applyFill="1" applyProtection="1">
      <alignment vertical="center"/>
      <protection hidden="1"/>
    </xf>
    <xf numFmtId="0" fontId="14" fillId="5" borderId="0" xfId="0" applyFont="1" applyFill="1">
      <alignment vertical="center"/>
    </xf>
    <xf numFmtId="0" fontId="0" fillId="5" borderId="2" xfId="0" applyFill="1" applyBorder="1" applyAlignment="1"/>
    <xf numFmtId="0" fontId="15" fillId="5" borderId="0" xfId="0" applyFont="1" applyFill="1">
      <alignment vertical="center"/>
    </xf>
    <xf numFmtId="0" fontId="0" fillId="5" borderId="25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5" borderId="19" xfId="0" applyFill="1" applyBorder="1" applyAlignment="1">
      <alignment vertical="center" shrinkToFit="1"/>
    </xf>
    <xf numFmtId="0" fontId="0" fillId="5" borderId="20" xfId="0" applyFill="1" applyBorder="1" applyAlignment="1">
      <alignment vertical="center" shrinkToFit="1"/>
    </xf>
    <xf numFmtId="0" fontId="0" fillId="5" borderId="21" xfId="0" applyFill="1" applyBorder="1" applyAlignment="1">
      <alignment vertical="center" shrinkToFit="1"/>
    </xf>
    <xf numFmtId="0" fontId="14" fillId="4" borderId="0" xfId="0" applyFont="1" applyFill="1">
      <alignment vertical="center"/>
    </xf>
    <xf numFmtId="0" fontId="17" fillId="4" borderId="0" xfId="0" applyFont="1" applyFill="1">
      <alignment vertical="center"/>
    </xf>
    <xf numFmtId="179" fontId="2" fillId="4" borderId="0" xfId="0" applyNumberFormat="1" applyFont="1" applyFill="1" applyAlignment="1">
      <alignment horizontal="left" vertical="center"/>
    </xf>
    <xf numFmtId="56" fontId="0" fillId="4" borderId="0" xfId="0" applyNumberFormat="1" applyFill="1">
      <alignment vertical="center"/>
    </xf>
    <xf numFmtId="178" fontId="4" fillId="4" borderId="3" xfId="0" applyNumberFormat="1" applyFont="1" applyFill="1" applyBorder="1" applyAlignment="1" applyProtection="1">
      <alignment horizontal="left" vertical="center" shrinkToFit="1"/>
      <protection hidden="1"/>
    </xf>
    <xf numFmtId="178" fontId="5" fillId="4" borderId="3" xfId="0" applyNumberFormat="1" applyFont="1" applyFill="1" applyBorder="1" applyAlignment="1" applyProtection="1">
      <alignment horizontal="left" vertical="center" shrinkToFit="1"/>
      <protection hidden="1"/>
    </xf>
    <xf numFmtId="178" fontId="6" fillId="4" borderId="3" xfId="0" applyNumberFormat="1" applyFont="1" applyFill="1" applyBorder="1" applyAlignment="1" applyProtection="1">
      <alignment horizontal="left" vertical="center" shrinkToFit="1"/>
      <protection hidden="1"/>
    </xf>
    <xf numFmtId="0" fontId="0" fillId="4" borderId="2" xfId="0" applyFill="1" applyBorder="1" applyAlignment="1" applyProtection="1">
      <alignment horizontal="center" vertical="center" shrinkToFit="1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vertical="center" shrinkToFit="1"/>
      <protection locked="0"/>
    </xf>
    <xf numFmtId="180" fontId="0" fillId="4" borderId="2" xfId="0" applyNumberFormat="1" applyFill="1" applyBorder="1" applyAlignment="1" applyProtection="1">
      <alignment horizontal="center" vertical="center" shrinkToFit="1"/>
      <protection locked="0"/>
    </xf>
    <xf numFmtId="0" fontId="19" fillId="4" borderId="0" xfId="0" applyFont="1" applyFill="1">
      <alignment vertical="center"/>
    </xf>
    <xf numFmtId="0" fontId="20" fillId="4" borderId="0" xfId="0" applyFont="1" applyFill="1" applyAlignment="1" applyProtection="1">
      <alignment vertical="center" shrinkToFit="1"/>
      <protection hidden="1"/>
    </xf>
    <xf numFmtId="0" fontId="20" fillId="4" borderId="0" xfId="0" applyFont="1" applyFill="1" applyProtection="1">
      <alignment vertical="center"/>
      <protection hidden="1"/>
    </xf>
    <xf numFmtId="177" fontId="20" fillId="4" borderId="0" xfId="0" applyNumberFormat="1" applyFont="1" applyFill="1" applyAlignment="1" applyProtection="1">
      <alignment vertical="center" shrinkToFit="1"/>
      <protection hidden="1"/>
    </xf>
    <xf numFmtId="181" fontId="2" fillId="4" borderId="2" xfId="0" applyNumberFormat="1" applyFont="1" applyFill="1" applyBorder="1" applyAlignment="1" applyProtection="1">
      <alignment horizontal="left" vertical="center"/>
      <protection hidden="1"/>
    </xf>
    <xf numFmtId="0" fontId="0" fillId="4" borderId="2" xfId="0" applyFill="1" applyBorder="1">
      <alignment vertical="center"/>
    </xf>
    <xf numFmtId="0" fontId="0" fillId="4" borderId="2" xfId="0" applyFill="1" applyBorder="1" applyAlignment="1">
      <alignment horizontal="left"/>
    </xf>
    <xf numFmtId="0" fontId="0" fillId="2" borderId="0" xfId="0" applyFill="1">
      <alignment vertical="center"/>
    </xf>
    <xf numFmtId="0" fontId="0" fillId="2" borderId="2" xfId="0" applyFill="1" applyBorder="1" applyAlignment="1"/>
    <xf numFmtId="0" fontId="14" fillId="2" borderId="0" xfId="0" applyFont="1" applyFill="1">
      <alignment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56" fontId="0" fillId="2" borderId="0" xfId="0" applyNumberFormat="1" applyFill="1">
      <alignment vertical="center"/>
    </xf>
    <xf numFmtId="0" fontId="0" fillId="2" borderId="0" xfId="0" applyFill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4" fontId="22" fillId="2" borderId="0" xfId="0" applyNumberFormat="1" applyFont="1" applyFill="1" applyAlignment="1" applyProtection="1">
      <alignment vertical="center" shrinkToFit="1"/>
      <protection hidden="1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19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0" fontId="15" fillId="2" borderId="0" xfId="0" applyFont="1" applyFill="1" applyProtection="1">
      <alignment vertical="center"/>
      <protection hidden="1"/>
    </xf>
    <xf numFmtId="0" fontId="23" fillId="0" borderId="2" xfId="0" applyFont="1" applyBorder="1">
      <alignment vertical="center"/>
    </xf>
    <xf numFmtId="0" fontId="24" fillId="4" borderId="0" xfId="0" applyFont="1" applyFill="1">
      <alignment vertical="center"/>
    </xf>
    <xf numFmtId="0" fontId="25" fillId="4" borderId="0" xfId="0" applyFont="1" applyFill="1">
      <alignment vertical="center"/>
    </xf>
    <xf numFmtId="0" fontId="12" fillId="0" borderId="0" xfId="0" applyFont="1">
      <alignment vertical="center"/>
    </xf>
    <xf numFmtId="0" fontId="26" fillId="5" borderId="6" xfId="0" applyFont="1" applyFill="1" applyBorder="1" applyAlignment="1">
      <alignment horizontal="center" shrinkToFit="1"/>
    </xf>
    <xf numFmtId="0" fontId="24" fillId="5" borderId="7" xfId="0" applyFont="1" applyFill="1" applyBorder="1" applyAlignment="1">
      <alignment horizontal="center" vertical="top" shrinkToFit="1"/>
    </xf>
    <xf numFmtId="0" fontId="0" fillId="0" borderId="0" xfId="0" applyAlignment="1">
      <alignment horizontal="right" vertical="center"/>
    </xf>
    <xf numFmtId="0" fontId="0" fillId="0" borderId="7" xfId="0" applyBorder="1" applyAlignment="1">
      <alignment vertical="center" shrinkToFit="1"/>
    </xf>
    <xf numFmtId="0" fontId="0" fillId="4" borderId="2" xfId="0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0" fillId="0" borderId="15" xfId="0" applyBorder="1">
      <alignment vertical="center"/>
    </xf>
    <xf numFmtId="0" fontId="0" fillId="0" borderId="11" xfId="0" applyBorder="1">
      <alignment vertical="center"/>
    </xf>
    <xf numFmtId="0" fontId="0" fillId="0" borderId="16" xfId="0" applyBorder="1">
      <alignment vertical="center"/>
    </xf>
    <xf numFmtId="0" fontId="10" fillId="0" borderId="0" xfId="0" applyFont="1" applyAlignment="1">
      <alignment vertical="center" shrinkToFit="1"/>
    </xf>
    <xf numFmtId="0" fontId="0" fillId="0" borderId="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/>
    </xf>
    <xf numFmtId="0" fontId="26" fillId="2" borderId="0" xfId="0" applyFont="1" applyFill="1">
      <alignment vertical="center"/>
    </xf>
    <xf numFmtId="0" fontId="24" fillId="2" borderId="0" xfId="0" applyFont="1" applyFill="1">
      <alignment vertical="center"/>
    </xf>
    <xf numFmtId="0" fontId="30" fillId="4" borderId="0" xfId="0" applyFont="1" applyFill="1">
      <alignment vertical="center"/>
    </xf>
    <xf numFmtId="0" fontId="24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17" fillId="4" borderId="0" xfId="0" applyFont="1" applyFill="1" applyAlignment="1"/>
    <xf numFmtId="0" fontId="31" fillId="4" borderId="0" xfId="0" applyFont="1" applyFill="1">
      <alignment vertical="center"/>
    </xf>
    <xf numFmtId="0" fontId="0" fillId="6" borderId="6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7" borderId="1" xfId="0" applyFill="1" applyBorder="1">
      <alignment vertical="center"/>
    </xf>
    <xf numFmtId="0" fontId="33" fillId="4" borderId="0" xfId="0" applyFont="1" applyFill="1">
      <alignment vertical="center"/>
    </xf>
    <xf numFmtId="0" fontId="34" fillId="4" borderId="0" xfId="0" applyFont="1" applyFill="1">
      <alignment vertical="center"/>
    </xf>
    <xf numFmtId="0" fontId="35" fillId="4" borderId="0" xfId="0" applyFont="1" applyFill="1">
      <alignment vertical="center"/>
    </xf>
    <xf numFmtId="0" fontId="36" fillId="4" borderId="0" xfId="0" applyFont="1" applyFill="1">
      <alignment vertical="center"/>
    </xf>
    <xf numFmtId="0" fontId="37" fillId="4" borderId="0" xfId="0" applyFont="1" applyFill="1">
      <alignment vertical="center"/>
    </xf>
    <xf numFmtId="0" fontId="38" fillId="4" borderId="0" xfId="0" applyFont="1" applyFill="1">
      <alignment vertical="center"/>
    </xf>
    <xf numFmtId="0" fontId="28" fillId="4" borderId="0" xfId="0" applyFont="1" applyFill="1">
      <alignment vertical="center"/>
    </xf>
    <xf numFmtId="0" fontId="12" fillId="4" borderId="0" xfId="0" applyFont="1" applyFill="1" applyAlignment="1"/>
    <xf numFmtId="0" fontId="40" fillId="4" borderId="0" xfId="0" applyFont="1" applyFill="1">
      <alignment vertical="center"/>
    </xf>
    <xf numFmtId="0" fontId="39" fillId="4" borderId="0" xfId="0" applyFont="1" applyFill="1">
      <alignment vertical="center"/>
    </xf>
    <xf numFmtId="0" fontId="29" fillId="7" borderId="0" xfId="0" applyFont="1" applyFill="1">
      <alignment vertical="center"/>
    </xf>
    <xf numFmtId="0" fontId="17" fillId="7" borderId="0" xfId="0" applyFont="1" applyFill="1">
      <alignment vertical="center"/>
    </xf>
    <xf numFmtId="0" fontId="19" fillId="7" borderId="0" xfId="0" applyFont="1" applyFill="1">
      <alignment vertical="center"/>
    </xf>
    <xf numFmtId="0" fontId="24" fillId="7" borderId="0" xfId="0" applyFont="1" applyFill="1">
      <alignment vertical="center"/>
    </xf>
    <xf numFmtId="0" fontId="24" fillId="7" borderId="0" xfId="0" applyFont="1" applyFill="1" applyAlignment="1">
      <alignment vertical="top"/>
    </xf>
    <xf numFmtId="0" fontId="18" fillId="7" borderId="0" xfId="0" applyFont="1" applyFill="1">
      <alignment vertical="center"/>
    </xf>
    <xf numFmtId="0" fontId="32" fillId="7" borderId="0" xfId="0" applyFont="1" applyFill="1">
      <alignment vertical="center"/>
    </xf>
    <xf numFmtId="0" fontId="12" fillId="4" borderId="0" xfId="0" applyFont="1" applyFill="1">
      <alignment vertical="center"/>
    </xf>
    <xf numFmtId="0" fontId="11" fillId="4" borderId="17" xfId="0" applyFont="1" applyFill="1" applyBorder="1" applyAlignment="1" applyProtection="1">
      <alignment horizontal="left" vertical="center" shrinkToFit="1"/>
      <protection hidden="1"/>
    </xf>
    <xf numFmtId="0" fontId="11" fillId="4" borderId="9" xfId="0" applyFont="1" applyFill="1" applyBorder="1" applyAlignment="1" applyProtection="1">
      <alignment horizontal="left" vertical="center" shrinkToFit="1"/>
      <protection hidden="1"/>
    </xf>
    <xf numFmtId="0" fontId="38" fillId="0" borderId="1" xfId="0" applyFont="1" applyBorder="1" applyAlignment="1">
      <alignment vertical="center" shrinkToFit="1"/>
    </xf>
    <xf numFmtId="0" fontId="39" fillId="0" borderId="1" xfId="0" applyFont="1" applyBorder="1" applyAlignment="1">
      <alignment horizontal="center" vertical="center" shrinkToFit="1"/>
    </xf>
    <xf numFmtId="0" fontId="39" fillId="0" borderId="1" xfId="0" applyFont="1" applyBorder="1" applyAlignment="1">
      <alignment vertical="center" shrinkToFit="1"/>
    </xf>
    <xf numFmtId="0" fontId="38" fillId="0" borderId="1" xfId="0" applyFont="1" applyBorder="1" applyAlignment="1">
      <alignment horizontal="center" vertical="center" shrinkToFit="1"/>
    </xf>
    <xf numFmtId="0" fontId="13" fillId="5" borderId="0" xfId="0" applyFont="1" applyFill="1" applyAlignment="1" applyProtection="1">
      <alignment horizontal="center" vertical="center"/>
      <protection locked="0"/>
    </xf>
    <xf numFmtId="0" fontId="27" fillId="5" borderId="0" xfId="0" applyFont="1" applyFill="1" applyAlignment="1" applyProtection="1">
      <alignment horizontal="center" vertical="center"/>
      <protection locked="0"/>
    </xf>
    <xf numFmtId="0" fontId="10" fillId="0" borderId="1" xfId="0" applyFont="1" applyBorder="1" applyAlignment="1">
      <alignment vertical="center" shrinkToFit="1"/>
    </xf>
    <xf numFmtId="0" fontId="41" fillId="0" borderId="0" xfId="0" applyFont="1" applyAlignment="1">
      <alignment horizontal="right" vertical="center"/>
    </xf>
    <xf numFmtId="0" fontId="38" fillId="0" borderId="1" xfId="0" applyFont="1" applyBorder="1">
      <alignment vertical="center"/>
    </xf>
    <xf numFmtId="0" fontId="41" fillId="0" borderId="0" xfId="0" applyFont="1">
      <alignment vertical="center"/>
    </xf>
    <xf numFmtId="0" fontId="38" fillId="0" borderId="0" xfId="0" applyFont="1">
      <alignment vertical="center"/>
    </xf>
    <xf numFmtId="0" fontId="13" fillId="5" borderId="0" xfId="0" applyFont="1" applyFill="1" applyAlignment="1">
      <alignment horizontal="right" vertical="center" shrinkToFit="1"/>
    </xf>
    <xf numFmtId="0" fontId="27" fillId="5" borderId="0" xfId="0" applyFont="1" applyFill="1" applyAlignment="1">
      <alignment horizontal="right" vertical="center" shrinkToFit="1"/>
    </xf>
    <xf numFmtId="0" fontId="39" fillId="0" borderId="0" xfId="0" applyFont="1" applyAlignment="1">
      <alignment vertical="center" shrinkToFit="1"/>
    </xf>
    <xf numFmtId="0" fontId="38" fillId="6" borderId="0" xfId="0" applyFont="1" applyFill="1">
      <alignment vertical="center"/>
    </xf>
    <xf numFmtId="0" fontId="39" fillId="6" borderId="0" xfId="0" applyFont="1" applyFill="1" applyAlignment="1">
      <alignment vertical="center" shrinkToFit="1"/>
    </xf>
    <xf numFmtId="0" fontId="42" fillId="5" borderId="0" xfId="0" applyFont="1" applyFill="1">
      <alignment vertical="center"/>
    </xf>
    <xf numFmtId="0" fontId="36" fillId="4" borderId="0" xfId="0" applyFont="1" applyFill="1" applyAlignment="1">
      <alignment horizontal="right" vertical="center"/>
    </xf>
    <xf numFmtId="0" fontId="28" fillId="7" borderId="0" xfId="0" applyFont="1" applyFill="1">
      <alignment vertical="center"/>
    </xf>
    <xf numFmtId="0" fontId="32" fillId="4" borderId="0" xfId="0" applyFont="1" applyFill="1">
      <alignment vertical="center"/>
    </xf>
    <xf numFmtId="0" fontId="0" fillId="5" borderId="0" xfId="0" applyFill="1" applyAlignment="1">
      <alignment horizontal="right" vertical="center" shrinkToFit="1"/>
    </xf>
    <xf numFmtId="0" fontId="27" fillId="5" borderId="0" xfId="0" applyFont="1" applyFill="1" applyAlignment="1">
      <alignment horizontal="right" vertical="center" shrinkToFit="1"/>
    </xf>
    <xf numFmtId="0" fontId="0" fillId="5" borderId="0" xfId="0" applyFill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0" xfId="0" applyFill="1" applyAlignment="1">
      <alignment horizontal="right" vertical="center"/>
    </xf>
    <xf numFmtId="0" fontId="16" fillId="5" borderId="0" xfId="0" applyFont="1" applyFill="1" applyAlignment="1">
      <alignment horizontal="left" vertical="center" wrapText="1"/>
    </xf>
    <xf numFmtId="0" fontId="16" fillId="5" borderId="0" xfId="0" applyFont="1" applyFill="1" applyAlignment="1">
      <alignment horizontal="left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13" fillId="5" borderId="0" xfId="0" applyFont="1" applyFill="1" applyAlignment="1">
      <alignment horizontal="right" vertical="center" shrinkToFit="1"/>
    </xf>
    <xf numFmtId="182" fontId="21" fillId="4" borderId="0" xfId="0" applyNumberFormat="1" applyFont="1" applyFill="1" applyAlignment="1" applyProtection="1">
      <alignment horizontal="left" vertical="center"/>
      <protection hidden="1"/>
    </xf>
    <xf numFmtId="0" fontId="3" fillId="4" borderId="4" xfId="0" applyFont="1" applyFill="1" applyBorder="1" applyAlignment="1" applyProtection="1">
      <alignment horizontal="left" vertical="center" shrinkToFit="1"/>
      <protection hidden="1"/>
    </xf>
    <xf numFmtId="0" fontId="3" fillId="4" borderId="10" xfId="0" applyFont="1" applyFill="1" applyBorder="1" applyAlignment="1" applyProtection="1">
      <alignment horizontal="left" vertical="center" shrinkToFit="1"/>
      <protection hidden="1"/>
    </xf>
    <xf numFmtId="0" fontId="3" fillId="4" borderId="5" xfId="0" applyFont="1" applyFill="1" applyBorder="1" applyAlignment="1" applyProtection="1">
      <alignment horizontal="left" vertical="center" shrinkToFit="1"/>
      <protection hidden="1"/>
    </xf>
    <xf numFmtId="0" fontId="3" fillId="4" borderId="8" xfId="0" applyFont="1" applyFill="1" applyBorder="1" applyAlignment="1" applyProtection="1">
      <alignment horizontal="left" vertical="center" shrinkToFit="1"/>
      <protection hidden="1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1" fillId="0" borderId="1" xfId="0" applyFont="1" applyBorder="1" applyAlignment="1">
      <alignment horizontal="center" vertical="center" shrinkToFit="1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19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3" fillId="7" borderId="0" xfId="0" applyFont="1" applyFill="1" applyAlignment="1">
      <alignment horizontal="right" vertical="center"/>
    </xf>
  </cellXfs>
  <cellStyles count="1">
    <cellStyle name="標準" xfId="0" builtinId="0"/>
  </cellStyles>
  <dxfs count="21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3" tint="0.39994506668294322"/>
      </font>
    </dxf>
    <dxf>
      <font>
        <color rgb="FFFF0000"/>
      </font>
    </dxf>
    <dxf>
      <font>
        <color rgb="FFFF0000"/>
      </font>
    </dxf>
    <dxf>
      <font>
        <color theme="3" tint="0.3999450666829432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3" tint="0.39994506668294322"/>
      </font>
    </dxf>
    <dxf>
      <font>
        <color rgb="FFFF0000"/>
      </font>
    </dxf>
    <dxf>
      <font>
        <color rgb="FFFF0000"/>
      </font>
    </dxf>
    <dxf>
      <font>
        <color theme="3" tint="0.39994506668294322"/>
      </font>
    </dxf>
    <dxf>
      <fill>
        <patternFill>
          <bgColor theme="0"/>
        </patternFill>
      </fill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color auto="1"/>
      </font>
    </dxf>
    <dxf>
      <font>
        <color rgb="FFFF0000"/>
      </font>
    </dxf>
    <dxf>
      <font>
        <b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40</xdr:row>
      <xdr:rowOff>0</xdr:rowOff>
    </xdr:from>
    <xdr:to>
      <xdr:col>8</xdr:col>
      <xdr:colOff>271086</xdr:colOff>
      <xdr:row>63</xdr:row>
      <xdr:rowOff>20014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FAEF0E58-E522-8B1C-3EB4-AE7A04865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6572250"/>
          <a:ext cx="3290511" cy="4401514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8</xdr:row>
      <xdr:rowOff>57150</xdr:rowOff>
    </xdr:from>
    <xdr:to>
      <xdr:col>8</xdr:col>
      <xdr:colOff>254280</xdr:colOff>
      <xdr:row>32</xdr:row>
      <xdr:rowOff>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210CE03A-74E5-1B69-3517-A13044FE4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1771650"/>
          <a:ext cx="3302280" cy="3562350"/>
        </a:xfrm>
        <a:prstGeom prst="rect">
          <a:avLst/>
        </a:prstGeom>
      </xdr:spPr>
    </xdr:pic>
    <xdr:clientData/>
  </xdr:twoCellAnchor>
  <xdr:twoCellAnchor editAs="absolute">
    <xdr:from>
      <xdr:col>11</xdr:col>
      <xdr:colOff>161925</xdr:colOff>
      <xdr:row>3</xdr:row>
      <xdr:rowOff>0</xdr:rowOff>
    </xdr:from>
    <xdr:to>
      <xdr:col>20</xdr:col>
      <xdr:colOff>236871</xdr:colOff>
      <xdr:row>4</xdr:row>
      <xdr:rowOff>6616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439758F-AAD0-40C0-BA97-49CFA5241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1575" y="762000"/>
          <a:ext cx="4018296" cy="197116"/>
        </a:xfrm>
        <a:prstGeom prst="rect">
          <a:avLst/>
        </a:prstGeom>
      </xdr:spPr>
    </xdr:pic>
    <xdr:clientData/>
  </xdr:twoCellAnchor>
  <xdr:twoCellAnchor editAs="absolute">
    <xdr:from>
      <xdr:col>11</xdr:col>
      <xdr:colOff>381000</xdr:colOff>
      <xdr:row>72</xdr:row>
      <xdr:rowOff>2909</xdr:rowOff>
    </xdr:from>
    <xdr:to>
      <xdr:col>20</xdr:col>
      <xdr:colOff>414036</xdr:colOff>
      <xdr:row>73</xdr:row>
      <xdr:rowOff>9525</xdr:rowOff>
    </xdr:to>
    <xdr:pic>
      <xdr:nvPicPr>
        <xdr:cNvPr id="85" name="図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0650" y="12861659"/>
          <a:ext cx="3976386" cy="197116"/>
        </a:xfrm>
        <a:prstGeom prst="rect">
          <a:avLst/>
        </a:prstGeom>
      </xdr:spPr>
    </xdr:pic>
    <xdr:clientData/>
  </xdr:twoCellAnchor>
  <xdr:twoCellAnchor editAs="absolute">
    <xdr:from>
      <xdr:col>12</xdr:col>
      <xdr:colOff>114299</xdr:colOff>
      <xdr:row>1</xdr:row>
      <xdr:rowOff>160020</xdr:rowOff>
    </xdr:from>
    <xdr:to>
      <xdr:col>17</xdr:col>
      <xdr:colOff>340345</xdr:colOff>
      <xdr:row>3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869179" y="541020"/>
          <a:ext cx="2207246" cy="2209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 b="1">
              <a:solidFill>
                <a:srgbClr val="FF0000"/>
              </a:solidFill>
            </a:rPr>
            <a:t>こちらのシートで入力作業をします。</a:t>
          </a:r>
        </a:p>
      </xdr:txBody>
    </xdr:sp>
    <xdr:clientData/>
  </xdr:twoCellAnchor>
  <xdr:twoCellAnchor editAs="absolute">
    <xdr:from>
      <xdr:col>11</xdr:col>
      <xdr:colOff>83819</xdr:colOff>
      <xdr:row>2</xdr:row>
      <xdr:rowOff>167640</xdr:rowOff>
    </xdr:from>
    <xdr:to>
      <xdr:col>13</xdr:col>
      <xdr:colOff>60959</xdr:colOff>
      <xdr:row>3</xdr:row>
      <xdr:rowOff>182880</xdr:rowOff>
    </xdr:to>
    <xdr:sp macro="" textlink="">
      <xdr:nvSpPr>
        <xdr:cNvPr id="29" name="円/楕円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4442459" y="739140"/>
          <a:ext cx="769620" cy="20574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14</xdr:col>
      <xdr:colOff>300990</xdr:colOff>
      <xdr:row>71</xdr:row>
      <xdr:rowOff>161925</xdr:rowOff>
    </xdr:from>
    <xdr:to>
      <xdr:col>16</xdr:col>
      <xdr:colOff>278130</xdr:colOff>
      <xdr:row>72</xdr:row>
      <xdr:rowOff>177165</xdr:rowOff>
    </xdr:to>
    <xdr:sp macro="" textlink="">
      <xdr:nvSpPr>
        <xdr:cNvPr id="40" name="円/楕円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6435090" y="12830175"/>
          <a:ext cx="853440" cy="20574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18</xdr:col>
      <xdr:colOff>41910</xdr:colOff>
      <xdr:row>71</xdr:row>
      <xdr:rowOff>161925</xdr:rowOff>
    </xdr:from>
    <xdr:to>
      <xdr:col>20</xdr:col>
      <xdr:colOff>19050</xdr:colOff>
      <xdr:row>72</xdr:row>
      <xdr:rowOff>177165</xdr:rowOff>
    </xdr:to>
    <xdr:sp macro="" textlink="">
      <xdr:nvSpPr>
        <xdr:cNvPr id="41" name="円/楕円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7928610" y="12830175"/>
          <a:ext cx="853440" cy="20574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1</xdr:col>
      <xdr:colOff>372292</xdr:colOff>
      <xdr:row>12</xdr:row>
      <xdr:rowOff>22860</xdr:rowOff>
    </xdr:from>
    <xdr:to>
      <xdr:col>2</xdr:col>
      <xdr:colOff>349432</xdr:colOff>
      <xdr:row>15</xdr:row>
      <xdr:rowOff>83820</xdr:rowOff>
    </xdr:to>
    <xdr:sp macro="" textlink="">
      <xdr:nvSpPr>
        <xdr:cNvPr id="54" name="円/楕円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768532" y="4396740"/>
          <a:ext cx="373380" cy="53340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2</xdr:col>
      <xdr:colOff>219892</xdr:colOff>
      <xdr:row>10</xdr:row>
      <xdr:rowOff>137160</xdr:rowOff>
    </xdr:from>
    <xdr:to>
      <xdr:col>3</xdr:col>
      <xdr:colOff>97972</xdr:colOff>
      <xdr:row>12</xdr:row>
      <xdr:rowOff>160020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1012372" y="4229100"/>
          <a:ext cx="27432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 editAs="absolute">
    <xdr:from>
      <xdr:col>2</xdr:col>
      <xdr:colOff>297997</xdr:colOff>
      <xdr:row>22</xdr:row>
      <xdr:rowOff>11430</xdr:rowOff>
    </xdr:from>
    <xdr:to>
      <xdr:col>3</xdr:col>
      <xdr:colOff>275137</xdr:colOff>
      <xdr:row>25</xdr:row>
      <xdr:rowOff>76200</xdr:rowOff>
    </xdr:to>
    <xdr:sp macro="" textlink="">
      <xdr:nvSpPr>
        <xdr:cNvPr id="56" name="円/楕円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174297" y="3821430"/>
          <a:ext cx="415290" cy="44577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3</xdr:col>
      <xdr:colOff>145597</xdr:colOff>
      <xdr:row>29</xdr:row>
      <xdr:rowOff>118110</xdr:rowOff>
    </xdr:from>
    <xdr:to>
      <xdr:col>3</xdr:col>
      <xdr:colOff>419917</xdr:colOff>
      <xdr:row>31</xdr:row>
      <xdr:rowOff>140970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460047" y="4975860"/>
          <a:ext cx="274320" cy="3086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70C0"/>
              </a:solidFill>
            </a:rPr>
            <a:t>⑦</a:t>
          </a:r>
        </a:p>
      </xdr:txBody>
    </xdr:sp>
    <xdr:clientData/>
  </xdr:twoCellAnchor>
  <xdr:twoCellAnchor editAs="absolute">
    <xdr:from>
      <xdr:col>3</xdr:col>
      <xdr:colOff>204652</xdr:colOff>
      <xdr:row>10</xdr:row>
      <xdr:rowOff>32385</xdr:rowOff>
    </xdr:from>
    <xdr:to>
      <xdr:col>4</xdr:col>
      <xdr:colOff>40822</xdr:colOff>
      <xdr:row>13</xdr:row>
      <xdr:rowOff>51435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1519102" y="2032635"/>
          <a:ext cx="274320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⑥</a:t>
          </a:r>
        </a:p>
      </xdr:txBody>
    </xdr:sp>
    <xdr:clientData/>
  </xdr:twoCellAnchor>
  <xdr:twoCellAnchor editAs="absolute">
    <xdr:from>
      <xdr:col>3</xdr:col>
      <xdr:colOff>179887</xdr:colOff>
      <xdr:row>21</xdr:row>
      <xdr:rowOff>121920</xdr:rowOff>
    </xdr:from>
    <xdr:to>
      <xdr:col>4</xdr:col>
      <xdr:colOff>16057</xdr:colOff>
      <xdr:row>23</xdr:row>
      <xdr:rowOff>99060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494337" y="3741420"/>
          <a:ext cx="274320" cy="262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③</a:t>
          </a:r>
        </a:p>
      </xdr:txBody>
    </xdr:sp>
    <xdr:clientData/>
  </xdr:twoCellAnchor>
  <xdr:twoCellAnchor editAs="absolute">
    <xdr:from>
      <xdr:col>3</xdr:col>
      <xdr:colOff>425631</xdr:colOff>
      <xdr:row>12</xdr:row>
      <xdr:rowOff>43815</xdr:rowOff>
    </xdr:from>
    <xdr:to>
      <xdr:col>5</xdr:col>
      <xdr:colOff>123824</xdr:colOff>
      <xdr:row>32</xdr:row>
      <xdr:rowOff>19050</xdr:rowOff>
    </xdr:to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1740081" y="2329815"/>
          <a:ext cx="574493" cy="3023235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3</xdr:col>
      <xdr:colOff>173355</xdr:colOff>
      <xdr:row>23</xdr:row>
      <xdr:rowOff>186690</xdr:rowOff>
    </xdr:from>
    <xdr:to>
      <xdr:col>4</xdr:col>
      <xdr:colOff>51435</xdr:colOff>
      <xdr:row>27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487805" y="4091940"/>
          <a:ext cx="31623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④</a:t>
          </a:r>
        </a:p>
      </xdr:txBody>
    </xdr:sp>
    <xdr:clientData/>
  </xdr:twoCellAnchor>
  <xdr:twoCellAnchor editAs="absolute">
    <xdr:from>
      <xdr:col>2</xdr:col>
      <xdr:colOff>282757</xdr:colOff>
      <xdr:row>27</xdr:row>
      <xdr:rowOff>28575</xdr:rowOff>
    </xdr:from>
    <xdr:to>
      <xdr:col>3</xdr:col>
      <xdr:colOff>290377</xdr:colOff>
      <xdr:row>28</xdr:row>
      <xdr:rowOff>142875</xdr:rowOff>
    </xdr:to>
    <xdr:sp macro="" textlink="">
      <xdr:nvSpPr>
        <xdr:cNvPr id="62" name="円/楕円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1159057" y="4600575"/>
          <a:ext cx="445770" cy="20955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2</xdr:col>
      <xdr:colOff>67492</xdr:colOff>
      <xdr:row>15</xdr:row>
      <xdr:rowOff>17145</xdr:rowOff>
    </xdr:from>
    <xdr:to>
      <xdr:col>2</xdr:col>
      <xdr:colOff>341812</xdr:colOff>
      <xdr:row>17</xdr:row>
      <xdr:rowOff>85725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943792" y="2779395"/>
          <a:ext cx="274320" cy="354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②</a:t>
          </a:r>
        </a:p>
      </xdr:txBody>
    </xdr:sp>
    <xdr:clientData/>
  </xdr:twoCellAnchor>
  <xdr:twoCellAnchor editAs="absolute">
    <xdr:from>
      <xdr:col>2</xdr:col>
      <xdr:colOff>269421</xdr:colOff>
      <xdr:row>16</xdr:row>
      <xdr:rowOff>43488</xdr:rowOff>
    </xdr:from>
    <xdr:to>
      <xdr:col>3</xdr:col>
      <xdr:colOff>295274</xdr:colOff>
      <xdr:row>21</xdr:row>
      <xdr:rowOff>123825</xdr:rowOff>
    </xdr:to>
    <xdr:sp macro="" textlink="">
      <xdr:nvSpPr>
        <xdr:cNvPr id="64" name="正方形/長方形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1145721" y="2996238"/>
          <a:ext cx="464003" cy="747087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2</xdr:col>
      <xdr:colOff>282757</xdr:colOff>
      <xdr:row>28</xdr:row>
      <xdr:rowOff>188595</xdr:rowOff>
    </xdr:from>
    <xdr:to>
      <xdr:col>3</xdr:col>
      <xdr:colOff>290377</xdr:colOff>
      <xdr:row>30</xdr:row>
      <xdr:rowOff>17145</xdr:rowOff>
    </xdr:to>
    <xdr:sp macro="" textlink="">
      <xdr:nvSpPr>
        <xdr:cNvPr id="65" name="円/楕円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1159057" y="4855845"/>
          <a:ext cx="445770" cy="209550"/>
        </a:xfrm>
        <a:prstGeom prst="ellipse">
          <a:avLst/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2</xdr:col>
      <xdr:colOff>282757</xdr:colOff>
      <xdr:row>25</xdr:row>
      <xdr:rowOff>137160</xdr:rowOff>
    </xdr:from>
    <xdr:to>
      <xdr:col>3</xdr:col>
      <xdr:colOff>290377</xdr:colOff>
      <xdr:row>26</xdr:row>
      <xdr:rowOff>152400</xdr:rowOff>
    </xdr:to>
    <xdr:sp macro="" textlink="">
      <xdr:nvSpPr>
        <xdr:cNvPr id="66" name="円/楕円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1159057" y="4328160"/>
          <a:ext cx="445770" cy="20574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3</xdr:col>
      <xdr:colOff>206557</xdr:colOff>
      <xdr:row>26</xdr:row>
      <xdr:rowOff>114300</xdr:rowOff>
    </xdr:from>
    <xdr:to>
      <xdr:col>4</xdr:col>
      <xdr:colOff>42727</xdr:colOff>
      <xdr:row>28</xdr:row>
      <xdr:rowOff>87630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1521007" y="4495800"/>
          <a:ext cx="27432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⑤</a:t>
          </a:r>
        </a:p>
      </xdr:txBody>
    </xdr:sp>
    <xdr:clientData/>
  </xdr:twoCellAnchor>
  <xdr:twoCellAnchor editAs="absolute">
    <xdr:from>
      <xdr:col>13</xdr:col>
      <xdr:colOff>264794</xdr:colOff>
      <xdr:row>64</xdr:row>
      <xdr:rowOff>188595</xdr:rowOff>
    </xdr:from>
    <xdr:to>
      <xdr:col>17</xdr:col>
      <xdr:colOff>142875</xdr:colOff>
      <xdr:row>66</xdr:row>
      <xdr:rowOff>28575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5960744" y="11523345"/>
          <a:ext cx="1630681" cy="2209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 b="1">
              <a:solidFill>
                <a:srgbClr val="FF0000"/>
              </a:solidFill>
            </a:rPr>
            <a:t>こちらのシートです。</a:t>
          </a:r>
        </a:p>
      </xdr:txBody>
    </xdr:sp>
    <xdr:clientData/>
  </xdr:twoCellAnchor>
  <xdr:twoCellAnchor editAs="absolute">
    <xdr:from>
      <xdr:col>11</xdr:col>
      <xdr:colOff>353679</xdr:colOff>
      <xdr:row>66</xdr:row>
      <xdr:rowOff>21959</xdr:rowOff>
    </xdr:from>
    <xdr:to>
      <xdr:col>20</xdr:col>
      <xdr:colOff>428625</xdr:colOff>
      <xdr:row>67</xdr:row>
      <xdr:rowOff>28575</xdr:rowOff>
    </xdr:to>
    <xdr:pic>
      <xdr:nvPicPr>
        <xdr:cNvPr id="83" name="図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3329" y="11737709"/>
          <a:ext cx="4018296" cy="197116"/>
        </a:xfrm>
        <a:prstGeom prst="rect">
          <a:avLst/>
        </a:prstGeom>
      </xdr:spPr>
    </xdr:pic>
    <xdr:clientData/>
  </xdr:twoCellAnchor>
  <xdr:twoCellAnchor editAs="absolute">
    <xdr:from>
      <xdr:col>16</xdr:col>
      <xdr:colOff>211454</xdr:colOff>
      <xdr:row>66</xdr:row>
      <xdr:rowOff>5715</xdr:rowOff>
    </xdr:from>
    <xdr:to>
      <xdr:col>18</xdr:col>
      <xdr:colOff>188594</xdr:colOff>
      <xdr:row>67</xdr:row>
      <xdr:rowOff>20955</xdr:rowOff>
    </xdr:to>
    <xdr:sp macro="" textlink="">
      <xdr:nvSpPr>
        <xdr:cNvPr id="84" name="円/楕円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7221854" y="11721465"/>
          <a:ext cx="853440" cy="20574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3</xdr:col>
      <xdr:colOff>177165</xdr:colOff>
      <xdr:row>54</xdr:row>
      <xdr:rowOff>89944</xdr:rowOff>
    </xdr:from>
    <xdr:to>
      <xdr:col>4</xdr:col>
      <xdr:colOff>13335</xdr:colOff>
      <xdr:row>56</xdr:row>
      <xdr:rowOff>13744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1491615" y="9519694"/>
          <a:ext cx="27432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70C0"/>
              </a:solidFill>
            </a:rPr>
            <a:t>➊</a:t>
          </a:r>
        </a:p>
      </xdr:txBody>
    </xdr:sp>
    <xdr:clientData/>
  </xdr:twoCellAnchor>
  <xdr:twoCellAnchor editAs="absolute">
    <xdr:from>
      <xdr:col>2</xdr:col>
      <xdr:colOff>371475</xdr:colOff>
      <xdr:row>55</xdr:row>
      <xdr:rowOff>70894</xdr:rowOff>
    </xdr:from>
    <xdr:to>
      <xdr:col>3</xdr:col>
      <xdr:colOff>219075</xdr:colOff>
      <xdr:row>56</xdr:row>
      <xdr:rowOff>32794</xdr:rowOff>
    </xdr:to>
    <xdr:sp macro="" textlink="">
      <xdr:nvSpPr>
        <xdr:cNvPr id="76" name="正方形/長方形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1247775" y="9691144"/>
          <a:ext cx="285750" cy="152400"/>
        </a:xfrm>
        <a:prstGeom prst="rect">
          <a:avLst/>
        </a:prstGeom>
        <a:noFill/>
        <a:ln w="190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2</xdr:col>
      <xdr:colOff>262890</xdr:colOff>
      <xdr:row>56</xdr:row>
      <xdr:rowOff>91849</xdr:rowOff>
    </xdr:from>
    <xdr:to>
      <xdr:col>3</xdr:col>
      <xdr:colOff>323850</xdr:colOff>
      <xdr:row>61</xdr:row>
      <xdr:rowOff>180975</xdr:rowOff>
    </xdr:to>
    <xdr:sp macro="" textlink="">
      <xdr:nvSpPr>
        <xdr:cNvPr id="77" name="正方形/長方形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1139190" y="9902599"/>
          <a:ext cx="499110" cy="1041626"/>
        </a:xfrm>
        <a:prstGeom prst="rect">
          <a:avLst/>
        </a:prstGeom>
        <a:noFill/>
        <a:ln w="190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2</xdr:col>
      <xdr:colOff>40005</xdr:colOff>
      <xdr:row>55</xdr:row>
      <xdr:rowOff>112804</xdr:rowOff>
    </xdr:from>
    <xdr:to>
      <xdr:col>2</xdr:col>
      <xdr:colOff>356235</xdr:colOff>
      <xdr:row>57</xdr:row>
      <xdr:rowOff>36604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916305" y="9733054"/>
          <a:ext cx="31623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70C0"/>
              </a:solidFill>
            </a:rPr>
            <a:t>➋</a:t>
          </a:r>
        </a:p>
      </xdr:txBody>
    </xdr:sp>
    <xdr:clientData/>
  </xdr:twoCellAnchor>
  <xdr:twoCellAnchor editAs="absolute">
    <xdr:from>
      <xdr:col>1</xdr:col>
      <xdr:colOff>99060</xdr:colOff>
      <xdr:row>44</xdr:row>
      <xdr:rowOff>137569</xdr:rowOff>
    </xdr:from>
    <xdr:to>
      <xdr:col>3</xdr:col>
      <xdr:colOff>316230</xdr:colOff>
      <xdr:row>54</xdr:row>
      <xdr:rowOff>152400</xdr:rowOff>
    </xdr:to>
    <xdr:sp macro="" textlink="">
      <xdr:nvSpPr>
        <xdr:cNvPr id="79" name="角丸四角形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537210" y="7662319"/>
          <a:ext cx="1093470" cy="1919831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3</xdr:col>
      <xdr:colOff>80010</xdr:colOff>
      <xdr:row>43</xdr:row>
      <xdr:rowOff>89944</xdr:rowOff>
    </xdr:from>
    <xdr:to>
      <xdr:col>3</xdr:col>
      <xdr:colOff>396240</xdr:colOff>
      <xdr:row>45</xdr:row>
      <xdr:rowOff>13744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1394460" y="7424194"/>
          <a:ext cx="31623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➌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16</xdr:row>
      <xdr:rowOff>15240</xdr:rowOff>
    </xdr:from>
    <xdr:to>
      <xdr:col>3</xdr:col>
      <xdr:colOff>83820</xdr:colOff>
      <xdr:row>25</xdr:row>
      <xdr:rowOff>109812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" y="3505200"/>
          <a:ext cx="1211580" cy="2014812"/>
        </a:xfrm>
        <a:prstGeom prst="rect">
          <a:avLst/>
        </a:prstGeom>
      </xdr:spPr>
    </xdr:pic>
    <xdr:clientData/>
  </xdr:twoCellAnchor>
  <xdr:twoCellAnchor>
    <xdr:from>
      <xdr:col>0</xdr:col>
      <xdr:colOff>312420</xdr:colOff>
      <xdr:row>18</xdr:row>
      <xdr:rowOff>76200</xdr:rowOff>
    </xdr:from>
    <xdr:to>
      <xdr:col>2</xdr:col>
      <xdr:colOff>388620</xdr:colOff>
      <xdr:row>19</xdr:row>
      <xdr:rowOff>30480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12420" y="3992880"/>
          <a:ext cx="1082040" cy="167640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274320</xdr:colOff>
      <xdr:row>26</xdr:row>
      <xdr:rowOff>45719</xdr:rowOff>
    </xdr:from>
    <xdr:to>
      <xdr:col>2</xdr:col>
      <xdr:colOff>350520</xdr:colOff>
      <xdr:row>36</xdr:row>
      <xdr:rowOff>58888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" y="5669279"/>
          <a:ext cx="1082040" cy="2101049"/>
        </a:xfrm>
        <a:prstGeom prst="rect">
          <a:avLst/>
        </a:prstGeom>
      </xdr:spPr>
    </xdr:pic>
    <xdr:clientData/>
  </xdr:twoCellAnchor>
  <xdr:twoCellAnchor>
    <xdr:from>
      <xdr:col>0</xdr:col>
      <xdr:colOff>548640</xdr:colOff>
      <xdr:row>19</xdr:row>
      <xdr:rowOff>30480</xdr:rowOff>
    </xdr:from>
    <xdr:to>
      <xdr:col>1</xdr:col>
      <xdr:colOff>243840</xdr:colOff>
      <xdr:row>28</xdr:row>
      <xdr:rowOff>137160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>
          <a:stCxn id="3" idx="4"/>
        </xdr:cNvCxnSpPr>
      </xdr:nvCxnSpPr>
      <xdr:spPr>
        <a:xfrm flipH="1">
          <a:off x="548640" y="4160520"/>
          <a:ext cx="304800" cy="202692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335280</xdr:colOff>
      <xdr:row>28</xdr:row>
      <xdr:rowOff>182880</xdr:rowOff>
    </xdr:from>
    <xdr:to>
      <xdr:col>1</xdr:col>
      <xdr:colOff>137160</xdr:colOff>
      <xdr:row>29</xdr:row>
      <xdr:rowOff>167640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335280" y="6233160"/>
          <a:ext cx="411480" cy="19812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548640</xdr:colOff>
      <xdr:row>17</xdr:row>
      <xdr:rowOff>106680</xdr:rowOff>
    </xdr:from>
    <xdr:to>
      <xdr:col>1</xdr:col>
      <xdr:colOff>152400</xdr:colOff>
      <xdr:row>18</xdr:row>
      <xdr:rowOff>106680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548640" y="3810000"/>
          <a:ext cx="213360" cy="213360"/>
        </a:xfrm>
        <a:prstGeom prst="ellipse">
          <a:avLst/>
        </a:prstGeom>
        <a:noFill/>
        <a:ln w="190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121154</xdr:colOff>
      <xdr:row>16</xdr:row>
      <xdr:rowOff>198120</xdr:rowOff>
    </xdr:from>
    <xdr:to>
      <xdr:col>1</xdr:col>
      <xdr:colOff>281940</xdr:colOff>
      <xdr:row>17</xdr:row>
      <xdr:rowOff>137926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>
          <a:stCxn id="9" idx="7"/>
        </xdr:cNvCxnSpPr>
      </xdr:nvCxnSpPr>
      <xdr:spPr>
        <a:xfrm flipV="1">
          <a:off x="730754" y="3688080"/>
          <a:ext cx="160786" cy="153166"/>
        </a:xfrm>
        <a:prstGeom prst="line">
          <a:avLst/>
        </a:prstGeom>
        <a:ln w="15875">
          <a:solidFill>
            <a:schemeClr val="tx2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</xdr:colOff>
      <xdr:row>15</xdr:row>
      <xdr:rowOff>182880</xdr:rowOff>
    </xdr:from>
    <xdr:to>
      <xdr:col>3</xdr:col>
      <xdr:colOff>121920</xdr:colOff>
      <xdr:row>17</xdr:row>
      <xdr:rowOff>30480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762000" y="3459480"/>
          <a:ext cx="7620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 b="1">
              <a:solidFill>
                <a:schemeClr val="accent1"/>
              </a:solidFill>
            </a:rPr>
            <a:t>これでも可</a:t>
          </a:r>
          <a:endParaRPr kumimoji="1" lang="ja-JP" altLang="en-US" sz="1100" b="1">
            <a:solidFill>
              <a:schemeClr val="accent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9050">
          <a:solidFill>
            <a:schemeClr val="accent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>
          <a:solidFill>
            <a:schemeClr val="tx1"/>
          </a:solidFill>
          <a:tailEnd type="arrow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  <a:ln w="9525" cmpd="sng">
          <a:noFill/>
        </a:ln>
      </a:spPr>
      <a:bodyPr vertOverflow="clip" horzOverflow="clip" wrap="square" rtlCol="0" anchor="ctr"/>
      <a:lstStyle>
        <a:defPPr algn="ctr">
          <a:defRPr kumimoji="1" sz="1100" b="1">
            <a:solidFill>
              <a:schemeClr val="accent1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74"/>
  <sheetViews>
    <sheetView tabSelected="1" workbookViewId="0"/>
  </sheetViews>
  <sheetFormatPr defaultColWidth="5.75" defaultRowHeight="15" customHeight="1" x14ac:dyDescent="0.15"/>
  <cols>
    <col min="1" max="16384" width="5.75" style="29"/>
  </cols>
  <sheetData>
    <row r="1" spans="1:36" ht="30" customHeight="1" x14ac:dyDescent="0.15">
      <c r="A1" s="28" t="s">
        <v>70</v>
      </c>
    </row>
    <row r="3" spans="1:36" ht="15" customHeight="1" x14ac:dyDescent="0.15">
      <c r="A3" s="84" t="s">
        <v>100</v>
      </c>
    </row>
    <row r="4" spans="1:36" ht="15" customHeight="1" x14ac:dyDescent="0.15">
      <c r="B4" s="29" t="s">
        <v>103</v>
      </c>
    </row>
    <row r="7" spans="1:36" ht="15" customHeight="1" x14ac:dyDescent="0.15">
      <c r="A7" s="84" t="s">
        <v>99</v>
      </c>
    </row>
    <row r="8" spans="1:36" ht="15" customHeight="1" x14ac:dyDescent="0.15">
      <c r="A8" s="84"/>
    </row>
    <row r="9" spans="1:36" ht="15" customHeight="1" x14ac:dyDescent="0.15">
      <c r="J9" s="98" t="s">
        <v>165</v>
      </c>
    </row>
    <row r="10" spans="1:36" ht="7.5" customHeight="1" x14ac:dyDescent="0.15"/>
    <row r="11" spans="1:36" ht="15" customHeight="1" x14ac:dyDescent="0.15">
      <c r="J11" s="98" t="s">
        <v>170</v>
      </c>
    </row>
    <row r="12" spans="1:36" ht="7.5" customHeight="1" x14ac:dyDescent="0.15">
      <c r="J12" s="131"/>
    </row>
    <row r="13" spans="1:36" ht="15" customHeight="1" x14ac:dyDescent="0.15">
      <c r="J13" s="98" t="s">
        <v>166</v>
      </c>
    </row>
    <row r="14" spans="1:36" ht="15" customHeight="1" x14ac:dyDescent="0.15">
      <c r="J14" s="98" t="s">
        <v>171</v>
      </c>
    </row>
    <row r="15" spans="1:36" ht="7.5" customHeight="1" x14ac:dyDescent="0.15">
      <c r="J15" s="98"/>
    </row>
    <row r="16" spans="1:36" ht="15" customHeight="1" x14ac:dyDescent="0.15">
      <c r="J16" s="98" t="s">
        <v>167</v>
      </c>
      <c r="AJ16" s="88"/>
    </row>
    <row r="17" spans="10:30" ht="7.5" customHeight="1" x14ac:dyDescent="0.15">
      <c r="J17" s="98"/>
    </row>
    <row r="18" spans="10:30" ht="15" customHeight="1" x14ac:dyDescent="0.15">
      <c r="J18" s="98" t="s">
        <v>108</v>
      </c>
    </row>
    <row r="19" spans="10:30" ht="7.5" customHeight="1" x14ac:dyDescent="0.15">
      <c r="J19" s="98"/>
    </row>
    <row r="20" spans="10:30" ht="15" customHeight="1" x14ac:dyDescent="0.15">
      <c r="J20" s="98" t="s">
        <v>168</v>
      </c>
      <c r="K20" s="84"/>
    </row>
    <row r="21" spans="10:30" ht="7.5" customHeight="1" x14ac:dyDescent="0.15">
      <c r="J21" s="98"/>
      <c r="K21" s="84"/>
    </row>
    <row r="22" spans="10:30" ht="15" customHeight="1" x14ac:dyDescent="0.15">
      <c r="J22" s="131" t="s">
        <v>157</v>
      </c>
      <c r="K22" s="84"/>
    </row>
    <row r="23" spans="10:30" ht="7.5" customHeight="1" x14ac:dyDescent="0.15">
      <c r="J23" s="40"/>
      <c r="K23" s="84"/>
    </row>
    <row r="24" spans="10:30" ht="15" customHeight="1" x14ac:dyDescent="0.15">
      <c r="K24" s="84"/>
      <c r="AA24" s="129" t="s">
        <v>72</v>
      </c>
    </row>
    <row r="25" spans="10:30" ht="7.5" customHeight="1" x14ac:dyDescent="0.15">
      <c r="J25" s="40"/>
      <c r="K25" s="84"/>
    </row>
    <row r="26" spans="10:30" ht="15" customHeight="1" x14ac:dyDescent="0.15">
      <c r="J26" s="99" t="s">
        <v>97</v>
      </c>
      <c r="K26" s="94"/>
      <c r="AC26" s="87"/>
      <c r="AD26" s="94"/>
    </row>
    <row r="27" spans="10:30" ht="15" customHeight="1" x14ac:dyDescent="0.15">
      <c r="J27" s="100"/>
      <c r="K27" s="96" t="s">
        <v>96</v>
      </c>
      <c r="L27" s="94"/>
      <c r="M27" s="94"/>
      <c r="N27" s="94"/>
      <c r="O27" s="94"/>
      <c r="P27" s="94"/>
      <c r="Q27" s="94"/>
      <c r="R27" s="94"/>
      <c r="S27" s="94"/>
      <c r="AC27" s="93"/>
      <c r="AD27" s="92"/>
    </row>
    <row r="28" spans="10:30" ht="7.5" customHeight="1" x14ac:dyDescent="0.15">
      <c r="J28" s="99"/>
      <c r="K28" s="94"/>
      <c r="L28" s="94"/>
      <c r="M28" s="94"/>
      <c r="N28" s="94"/>
      <c r="O28" s="94"/>
      <c r="P28" s="94"/>
      <c r="Q28" s="94"/>
      <c r="R28" s="94"/>
      <c r="S28" s="94"/>
      <c r="AC28" s="87"/>
      <c r="AD28" s="94"/>
    </row>
    <row r="29" spans="10:30" ht="15" customHeight="1" x14ac:dyDescent="0.15">
      <c r="J29" s="99" t="s">
        <v>98</v>
      </c>
      <c r="K29" s="94"/>
      <c r="L29" s="94"/>
      <c r="M29" s="94"/>
      <c r="N29" s="94"/>
      <c r="O29" s="94"/>
      <c r="P29" s="94"/>
      <c r="Q29" s="94"/>
      <c r="R29" s="94"/>
      <c r="S29" s="94"/>
      <c r="AC29" s="93"/>
      <c r="AD29" s="94"/>
    </row>
    <row r="30" spans="10:30" ht="15" customHeight="1" x14ac:dyDescent="0.15">
      <c r="J30" s="100"/>
      <c r="K30" s="96" t="s">
        <v>95</v>
      </c>
      <c r="L30" s="94"/>
      <c r="M30" s="94"/>
      <c r="N30" s="94"/>
      <c r="O30" s="94"/>
      <c r="P30" s="94"/>
      <c r="Q30" s="94"/>
      <c r="R30" s="94"/>
      <c r="S30" s="95"/>
      <c r="AC30" s="87"/>
      <c r="AD30" s="94"/>
    </row>
    <row r="31" spans="10:30" ht="7.5" customHeight="1" x14ac:dyDescent="0.15">
      <c r="J31" s="101"/>
      <c r="K31" s="94"/>
      <c r="L31" s="94"/>
      <c r="M31" s="94"/>
      <c r="N31" s="94"/>
      <c r="O31" s="94"/>
      <c r="P31" s="94"/>
      <c r="Q31" s="94"/>
      <c r="R31" s="94"/>
      <c r="S31" s="95"/>
      <c r="AC31" s="40"/>
      <c r="AD31" s="94"/>
    </row>
    <row r="32" spans="10:30" ht="15" customHeight="1" x14ac:dyDescent="0.15">
      <c r="J32" s="99" t="s">
        <v>110</v>
      </c>
      <c r="K32" s="94"/>
      <c r="S32" s="65"/>
      <c r="AC32" s="40"/>
      <c r="AD32" s="98"/>
    </row>
    <row r="33" spans="1:29" ht="15" customHeight="1" x14ac:dyDescent="0.15">
      <c r="J33" s="101"/>
      <c r="K33" s="96" t="s">
        <v>109</v>
      </c>
      <c r="S33" s="65"/>
      <c r="AC33" s="40"/>
    </row>
    <row r="34" spans="1:29" ht="7.5" customHeight="1" x14ac:dyDescent="0.15">
      <c r="J34" s="40"/>
      <c r="K34" s="97"/>
      <c r="S34" s="65"/>
    </row>
    <row r="35" spans="1:29" ht="15" customHeight="1" x14ac:dyDescent="0.15">
      <c r="J35" s="99" t="s">
        <v>112</v>
      </c>
      <c r="K35" s="94"/>
      <c r="S35" s="65"/>
    </row>
    <row r="36" spans="1:29" ht="15" customHeight="1" x14ac:dyDescent="0.15">
      <c r="J36" s="101"/>
      <c r="K36" s="96" t="s">
        <v>111</v>
      </c>
      <c r="S36" s="65"/>
    </row>
    <row r="37" spans="1:29" ht="15" customHeight="1" x14ac:dyDescent="0.15">
      <c r="J37" s="40"/>
      <c r="S37" s="65"/>
    </row>
    <row r="38" spans="1:29" ht="15" customHeight="1" x14ac:dyDescent="0.15">
      <c r="J38" s="40"/>
      <c r="S38" s="65"/>
    </row>
    <row r="39" spans="1:29" ht="15" customHeight="1" x14ac:dyDescent="0.15">
      <c r="A39" s="102" t="s">
        <v>164</v>
      </c>
      <c r="B39" s="103"/>
      <c r="C39" s="103"/>
      <c r="D39" s="103"/>
      <c r="E39" s="103"/>
      <c r="F39" s="103"/>
      <c r="G39" s="103"/>
      <c r="H39" s="103"/>
      <c r="I39" s="103"/>
      <c r="J39" s="104"/>
      <c r="K39" s="103"/>
      <c r="L39" s="103"/>
      <c r="M39" s="103"/>
      <c r="N39" s="103"/>
      <c r="O39" s="103"/>
      <c r="P39" s="103"/>
      <c r="Q39" s="103"/>
      <c r="R39" s="103"/>
      <c r="S39" s="105"/>
      <c r="T39" s="103"/>
      <c r="U39" s="103"/>
      <c r="V39" s="103"/>
      <c r="W39" s="103"/>
      <c r="X39" s="103"/>
      <c r="Y39" s="103"/>
      <c r="Z39" s="103"/>
      <c r="AA39" s="103"/>
    </row>
    <row r="40" spans="1:29" ht="15" customHeight="1" x14ac:dyDescent="0.15">
      <c r="A40" s="102"/>
      <c r="B40" s="103"/>
      <c r="C40" s="103"/>
      <c r="D40" s="103"/>
      <c r="E40" s="103"/>
      <c r="F40" s="103"/>
      <c r="G40" s="103"/>
      <c r="H40" s="103"/>
      <c r="I40" s="103"/>
      <c r="J40" s="104"/>
      <c r="K40" s="103"/>
      <c r="L40" s="103"/>
      <c r="M40" s="103"/>
      <c r="N40" s="103"/>
      <c r="O40" s="103"/>
      <c r="P40" s="103"/>
      <c r="Q40" s="103"/>
      <c r="R40" s="103"/>
      <c r="S40" s="105"/>
      <c r="T40" s="103"/>
      <c r="U40" s="103"/>
      <c r="V40" s="103"/>
      <c r="W40" s="103"/>
      <c r="X40" s="103"/>
      <c r="Y40" s="103"/>
      <c r="Z40" s="103"/>
      <c r="AA40" s="103"/>
    </row>
    <row r="41" spans="1:29" ht="15" customHeight="1" x14ac:dyDescent="0.15">
      <c r="A41" s="103"/>
      <c r="B41" s="103"/>
      <c r="C41" s="103"/>
      <c r="D41" s="103"/>
      <c r="E41" s="103"/>
      <c r="F41" s="103"/>
      <c r="G41" s="103"/>
      <c r="H41" s="103"/>
      <c r="I41" s="103"/>
      <c r="J41" s="108" t="s">
        <v>94</v>
      </c>
      <c r="K41" s="103"/>
      <c r="L41" s="103"/>
      <c r="M41" s="103"/>
      <c r="N41" s="103"/>
      <c r="O41" s="103"/>
      <c r="P41" s="103"/>
      <c r="Q41" s="103"/>
      <c r="R41" s="103"/>
      <c r="S41" s="106"/>
      <c r="T41" s="103"/>
      <c r="U41" s="103"/>
      <c r="V41" s="103"/>
      <c r="W41" s="103"/>
      <c r="X41" s="103"/>
      <c r="Y41" s="103"/>
      <c r="Z41" s="103"/>
      <c r="AA41" s="103"/>
    </row>
    <row r="42" spans="1:29" ht="15" customHeight="1" x14ac:dyDescent="0.15">
      <c r="A42" s="103"/>
      <c r="B42" s="103"/>
      <c r="C42" s="103"/>
      <c r="D42" s="103"/>
      <c r="E42" s="103"/>
      <c r="F42" s="103"/>
      <c r="G42" s="103"/>
      <c r="H42" s="103"/>
      <c r="I42" s="103"/>
      <c r="J42" s="108"/>
      <c r="K42" s="103"/>
      <c r="L42" s="103"/>
      <c r="M42" s="103"/>
      <c r="N42" s="103"/>
      <c r="O42" s="103"/>
      <c r="P42" s="103"/>
      <c r="Q42" s="103"/>
      <c r="R42" s="103"/>
      <c r="S42" s="106"/>
      <c r="T42" s="103"/>
      <c r="U42" s="103"/>
      <c r="V42" s="103"/>
      <c r="W42" s="103"/>
      <c r="X42" s="103"/>
      <c r="Y42" s="103"/>
      <c r="Z42" s="103"/>
      <c r="AA42" s="103"/>
    </row>
    <row r="43" spans="1:29" ht="15" customHeight="1" x14ac:dyDescent="0.15">
      <c r="A43" s="103"/>
      <c r="B43" s="103"/>
      <c r="C43" s="103"/>
      <c r="D43" s="103"/>
      <c r="E43" s="103"/>
      <c r="F43" s="103"/>
      <c r="G43" s="103"/>
      <c r="H43" s="103"/>
      <c r="I43" s="103"/>
      <c r="J43" s="108" t="s">
        <v>158</v>
      </c>
      <c r="K43" s="103"/>
      <c r="L43" s="103"/>
      <c r="M43" s="103"/>
      <c r="N43" s="103"/>
      <c r="O43" s="103"/>
      <c r="P43" s="103"/>
      <c r="Q43" s="103"/>
      <c r="R43" s="103"/>
      <c r="S43" s="106"/>
      <c r="T43" s="103"/>
      <c r="U43" s="103"/>
      <c r="V43" s="103"/>
      <c r="W43" s="103"/>
      <c r="X43" s="103"/>
      <c r="Y43" s="103"/>
      <c r="Z43" s="103"/>
      <c r="AA43" s="103"/>
    </row>
    <row r="44" spans="1:29" ht="15" customHeight="1" x14ac:dyDescent="0.15">
      <c r="A44" s="103"/>
      <c r="B44" s="103"/>
      <c r="C44" s="103"/>
      <c r="D44" s="103"/>
      <c r="E44" s="103"/>
      <c r="F44" s="103"/>
      <c r="G44" s="103"/>
      <c r="H44" s="103"/>
      <c r="I44" s="103"/>
      <c r="J44" s="108" t="s">
        <v>159</v>
      </c>
      <c r="K44" s="107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</row>
    <row r="45" spans="1:29" ht="15" customHeight="1" x14ac:dyDescent="0.15">
      <c r="A45" s="103"/>
      <c r="B45" s="103"/>
      <c r="C45" s="103"/>
      <c r="D45" s="103"/>
      <c r="E45" s="103"/>
      <c r="F45" s="103"/>
      <c r="G45" s="103"/>
      <c r="H45" s="103"/>
      <c r="I45" s="103"/>
      <c r="J45" s="108" t="s">
        <v>160</v>
      </c>
      <c r="K45" s="107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</row>
    <row r="46" spans="1:29" ht="15" customHeight="1" x14ac:dyDescent="0.15">
      <c r="A46" s="103"/>
      <c r="B46" s="103"/>
      <c r="C46" s="103"/>
      <c r="D46" s="103"/>
      <c r="E46" s="103"/>
      <c r="F46" s="103"/>
      <c r="G46" s="103"/>
      <c r="H46" s="103"/>
      <c r="I46" s="103"/>
      <c r="J46" s="108" t="s">
        <v>161</v>
      </c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</row>
    <row r="47" spans="1:29" ht="15" customHeight="1" x14ac:dyDescent="0.15">
      <c r="A47" s="103"/>
      <c r="B47" s="103"/>
      <c r="C47" s="103"/>
      <c r="D47" s="103"/>
      <c r="E47" s="103"/>
      <c r="F47" s="103"/>
      <c r="G47" s="103"/>
      <c r="H47" s="103"/>
      <c r="I47" s="103"/>
      <c r="J47" s="108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67" t="s">
        <v>162</v>
      </c>
      <c r="AA47" s="103"/>
    </row>
    <row r="48" spans="1:29" ht="15" customHeight="1" x14ac:dyDescent="0.15">
      <c r="A48" s="103"/>
      <c r="B48" s="103"/>
      <c r="C48" s="103"/>
      <c r="D48" s="103"/>
      <c r="E48" s="103"/>
      <c r="F48" s="103"/>
      <c r="G48" s="103"/>
      <c r="H48" s="103"/>
      <c r="I48" s="103"/>
      <c r="J48" s="108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</row>
    <row r="49" spans="1:27" ht="15" customHeight="1" x14ac:dyDescent="0.15">
      <c r="A49" s="103"/>
      <c r="B49" s="103"/>
      <c r="C49" s="103"/>
      <c r="D49" s="103"/>
      <c r="E49" s="103"/>
      <c r="F49" s="103"/>
      <c r="G49" s="103"/>
      <c r="H49" s="103"/>
      <c r="I49" s="103"/>
      <c r="J49" s="130" t="s">
        <v>163</v>
      </c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</row>
    <row r="50" spans="1:27" ht="15" customHeight="1" x14ac:dyDescent="0.15">
      <c r="A50" s="103"/>
      <c r="B50" s="103"/>
      <c r="C50" s="103"/>
      <c r="D50" s="103"/>
      <c r="E50" s="103"/>
      <c r="F50" s="103"/>
      <c r="G50" s="103"/>
      <c r="H50" s="103"/>
      <c r="I50" s="103"/>
      <c r="J50" s="108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</row>
    <row r="51" spans="1:27" ht="15" customHeight="1" x14ac:dyDescent="0.15">
      <c r="A51" s="103"/>
      <c r="B51" s="103"/>
      <c r="C51" s="103"/>
      <c r="D51" s="103"/>
      <c r="E51" s="103"/>
      <c r="F51" s="103"/>
      <c r="G51" s="103"/>
      <c r="H51" s="103"/>
      <c r="I51" s="103"/>
      <c r="J51" s="108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</row>
    <row r="52" spans="1:27" ht="15" customHeight="1" x14ac:dyDescent="0.15">
      <c r="A52" s="103"/>
      <c r="B52" s="103"/>
      <c r="C52" s="103"/>
      <c r="D52" s="103"/>
      <c r="E52" s="103"/>
      <c r="F52" s="103"/>
      <c r="G52" s="103"/>
      <c r="H52" s="103"/>
      <c r="I52" s="103"/>
      <c r="J52" s="102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</row>
    <row r="53" spans="1:27" ht="15" customHeight="1" x14ac:dyDescent="0.15">
      <c r="A53" s="103"/>
      <c r="B53" s="103"/>
      <c r="C53" s="103"/>
      <c r="D53" s="103"/>
      <c r="E53" s="103"/>
      <c r="F53" s="103"/>
      <c r="G53" s="103"/>
      <c r="H53" s="103"/>
      <c r="I53" s="103"/>
      <c r="J53" s="102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</row>
    <row r="54" spans="1:27" ht="15" customHeight="1" x14ac:dyDescent="0.15">
      <c r="A54" s="103"/>
      <c r="B54" s="103"/>
      <c r="C54" s="103"/>
      <c r="D54" s="103"/>
      <c r="E54" s="103"/>
      <c r="F54" s="103"/>
      <c r="G54" s="103"/>
      <c r="H54" s="103"/>
      <c r="I54" s="103"/>
      <c r="J54" s="102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</row>
    <row r="55" spans="1:27" ht="15" customHeight="1" x14ac:dyDescent="0.15">
      <c r="A55" s="103"/>
      <c r="B55" s="103"/>
      <c r="C55" s="103"/>
      <c r="D55" s="103"/>
      <c r="E55" s="103"/>
      <c r="F55" s="103"/>
      <c r="G55" s="103"/>
      <c r="H55" s="103"/>
      <c r="I55" s="103"/>
      <c r="J55" s="102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</row>
    <row r="56" spans="1:27" ht="15" customHeight="1" x14ac:dyDescent="0.15">
      <c r="A56" s="103"/>
      <c r="B56" s="103"/>
      <c r="C56" s="103"/>
      <c r="D56" s="103"/>
      <c r="E56" s="103"/>
      <c r="F56" s="103"/>
      <c r="G56" s="103"/>
      <c r="H56" s="103"/>
      <c r="I56" s="103"/>
      <c r="J56" s="102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</row>
    <row r="57" spans="1:27" ht="15" customHeight="1" x14ac:dyDescent="0.15">
      <c r="A57" s="103"/>
      <c r="B57" s="103"/>
      <c r="C57" s="103"/>
      <c r="D57" s="103"/>
      <c r="E57" s="103"/>
      <c r="F57" s="103"/>
      <c r="G57" s="103"/>
      <c r="H57" s="103"/>
      <c r="I57" s="103"/>
      <c r="J57" s="102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</row>
    <row r="58" spans="1:27" ht="15" customHeight="1" x14ac:dyDescent="0.15">
      <c r="A58" s="103"/>
      <c r="B58" s="103"/>
      <c r="C58" s="103"/>
      <c r="D58" s="103"/>
      <c r="E58" s="103"/>
      <c r="F58" s="103"/>
      <c r="G58" s="103"/>
      <c r="H58" s="103"/>
      <c r="I58" s="103"/>
      <c r="J58" s="104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</row>
    <row r="59" spans="1:27" ht="15" customHeight="1" x14ac:dyDescent="0.15">
      <c r="A59" s="103"/>
      <c r="B59" s="103"/>
      <c r="C59" s="103"/>
      <c r="D59" s="103"/>
      <c r="E59" s="103"/>
      <c r="F59" s="103"/>
      <c r="G59" s="103"/>
      <c r="H59" s="103"/>
      <c r="I59" s="103"/>
      <c r="J59" s="104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</row>
    <row r="60" spans="1:27" ht="15" customHeight="1" x14ac:dyDescent="0.15">
      <c r="A60" s="103"/>
      <c r="B60" s="103"/>
      <c r="C60" s="103"/>
      <c r="D60" s="103"/>
      <c r="E60" s="103"/>
      <c r="F60" s="103"/>
      <c r="G60" s="103"/>
      <c r="H60" s="103"/>
      <c r="I60" s="103"/>
      <c r="J60" s="104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</row>
    <row r="61" spans="1:27" ht="15" customHeight="1" x14ac:dyDescent="0.15">
      <c r="A61" s="103"/>
      <c r="B61" s="103"/>
      <c r="C61" s="103"/>
      <c r="D61" s="103"/>
      <c r="E61" s="103"/>
      <c r="F61" s="103"/>
      <c r="G61" s="103"/>
      <c r="H61" s="103"/>
      <c r="I61" s="103"/>
      <c r="J61" s="104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</row>
    <row r="62" spans="1:27" ht="15" customHeight="1" x14ac:dyDescent="0.15">
      <c r="A62" s="103"/>
      <c r="B62" s="103"/>
      <c r="C62" s="103"/>
      <c r="D62" s="103"/>
      <c r="E62" s="103"/>
      <c r="F62" s="103"/>
      <c r="G62" s="103"/>
      <c r="H62" s="103"/>
      <c r="I62" s="103"/>
      <c r="J62" s="104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</row>
    <row r="63" spans="1:27" ht="15" customHeight="1" x14ac:dyDescent="0.15">
      <c r="A63" s="103"/>
      <c r="B63" s="103"/>
      <c r="C63" s="103"/>
      <c r="D63" s="103"/>
      <c r="E63" s="103"/>
      <c r="F63" s="103"/>
      <c r="G63" s="103"/>
      <c r="H63" s="103"/>
      <c r="I63" s="103"/>
      <c r="J63" s="104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</row>
    <row r="64" spans="1:27" ht="15" customHeight="1" x14ac:dyDescent="0.15">
      <c r="A64" s="103"/>
      <c r="B64" s="103"/>
      <c r="C64" s="103"/>
      <c r="D64" s="103"/>
      <c r="E64" s="103"/>
      <c r="F64" s="103"/>
      <c r="G64" s="103"/>
      <c r="H64" s="103"/>
      <c r="I64" s="103"/>
      <c r="J64" s="104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</row>
    <row r="65" spans="1:10" ht="15" customHeight="1" x14ac:dyDescent="0.15">
      <c r="J65" s="40"/>
    </row>
    <row r="66" spans="1:10" ht="15" customHeight="1" x14ac:dyDescent="0.15">
      <c r="J66" s="40"/>
    </row>
    <row r="67" spans="1:10" ht="15" customHeight="1" x14ac:dyDescent="0.15">
      <c r="A67" s="84" t="s">
        <v>101</v>
      </c>
      <c r="E67" s="88"/>
      <c r="J67" s="40"/>
    </row>
    <row r="68" spans="1:10" ht="15" customHeight="1" x14ac:dyDescent="0.15">
      <c r="B68" s="29" t="s">
        <v>102</v>
      </c>
      <c r="E68" s="88"/>
      <c r="J68" s="40"/>
    </row>
    <row r="69" spans="1:10" ht="15" customHeight="1" x14ac:dyDescent="0.15">
      <c r="B69" s="109" t="s">
        <v>105</v>
      </c>
      <c r="E69" s="88"/>
      <c r="J69" s="40"/>
    </row>
    <row r="70" spans="1:10" ht="15" customHeight="1" x14ac:dyDescent="0.15">
      <c r="J70" s="66"/>
    </row>
    <row r="71" spans="1:10" ht="15" customHeight="1" x14ac:dyDescent="0.15">
      <c r="J71" s="66"/>
    </row>
    <row r="72" spans="1:10" ht="15" customHeight="1" x14ac:dyDescent="0.15">
      <c r="A72" s="84" t="s">
        <v>104</v>
      </c>
    </row>
    <row r="73" spans="1:10" ht="15" customHeight="1" x14ac:dyDescent="0.15">
      <c r="B73" s="29" t="s">
        <v>169</v>
      </c>
    </row>
    <row r="74" spans="1:10" ht="15" customHeight="1" x14ac:dyDescent="0.15">
      <c r="B74" s="29" t="s">
        <v>114</v>
      </c>
    </row>
  </sheetData>
  <sheetProtection algorithmName="SHA-512" hashValue="G42oLO0WCqrK1jff+sOWkXOjFcX06B7IgEWJKtR3/Xk3iQ8yy2f4yh7EL4ePfsk4e5xW40bxSfKX9jMrafZYkg==" saltValue="GulG3e+8TaJeV20aAxsXFw==" spinCount="100000" sheet="1" objects="1" scenarios="1"/>
  <phoneticPr fontId="1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theme="6" tint="0.39997558519241921"/>
  </sheetPr>
  <dimension ref="A1:X38"/>
  <sheetViews>
    <sheetView zoomScaleNormal="100" workbookViewId="0">
      <selection activeCell="B5" sqref="B5"/>
    </sheetView>
  </sheetViews>
  <sheetFormatPr defaultColWidth="8.875" defaultRowHeight="13.5" x14ac:dyDescent="0.15"/>
  <cols>
    <col min="1" max="1" width="8.875" style="10"/>
    <col min="2" max="2" width="5.75" style="10" customWidth="1"/>
    <col min="3" max="3" width="8.625" style="10" customWidth="1"/>
    <col min="4" max="4" width="3.75" style="10" customWidth="1"/>
    <col min="5" max="5" width="10.75" style="10" customWidth="1"/>
    <col min="6" max="6" width="1.75" style="10" customWidth="1"/>
    <col min="7" max="7" width="5.75" style="10" customWidth="1"/>
    <col min="8" max="8" width="7.5" style="10" customWidth="1"/>
    <col min="9" max="9" width="26.5" style="10" customWidth="1"/>
    <col min="10" max="12" width="37.75" style="10" customWidth="1"/>
    <col min="13" max="16384" width="8.875" style="10"/>
  </cols>
  <sheetData>
    <row r="1" spans="1:24" ht="36" customHeight="1" x14ac:dyDescent="0.15">
      <c r="A1" s="140" t="s">
        <v>69</v>
      </c>
      <c r="B1" s="141"/>
      <c r="C1" s="141"/>
      <c r="D1" s="141"/>
      <c r="E1" s="18">
        <f>IF(C24="",IF(COUNTBLANK(C16:C18)=3,0,IF(C18="",1,2)),IF(COUNTBLANK(C26:C28)=3,0,IF(C28="",1,2)))</f>
        <v>0</v>
      </c>
      <c r="G1" s="21" t="str">
        <f>"ま★ナビシステム　"&amp;IF(B7="","",B7&amp;"月度")&amp;"学習計画表"</f>
        <v>ま★ナビシステム　10月度学習計画表</v>
      </c>
      <c r="L1" s="20" t="s">
        <v>68</v>
      </c>
    </row>
    <row r="2" spans="1:24" ht="4.9000000000000004" customHeight="1" x14ac:dyDescent="0.15">
      <c r="A2" s="141"/>
      <c r="B2" s="141"/>
      <c r="C2" s="141"/>
      <c r="D2" s="141"/>
      <c r="E2" s="18">
        <f>IF(COUNTBLANK(C26:C28)=3,0,1)</f>
        <v>0</v>
      </c>
      <c r="G2" s="19"/>
    </row>
    <row r="3" spans="1:24" ht="19.149999999999999" customHeight="1" x14ac:dyDescent="0.15">
      <c r="A3" s="141"/>
      <c r="B3" s="141"/>
      <c r="C3" s="141"/>
      <c r="D3" s="141"/>
      <c r="E3" s="68" t="s">
        <v>93</v>
      </c>
      <c r="G3" s="142" t="s">
        <v>2</v>
      </c>
      <c r="H3" s="135" t="s">
        <v>1</v>
      </c>
      <c r="I3" s="135" t="s">
        <v>4</v>
      </c>
      <c r="J3" s="136" t="s">
        <v>7</v>
      </c>
      <c r="K3" s="137"/>
      <c r="L3" s="138"/>
    </row>
    <row r="4" spans="1:24" x14ac:dyDescent="0.15">
      <c r="E4" s="69" t="s">
        <v>64</v>
      </c>
      <c r="G4" s="143"/>
      <c r="H4" s="135"/>
      <c r="I4" s="135"/>
      <c r="J4" s="22" t="s">
        <v>50</v>
      </c>
      <c r="K4" s="23" t="s">
        <v>51</v>
      </c>
      <c r="L4" s="24" t="s">
        <v>52</v>
      </c>
      <c r="W4" s="12"/>
      <c r="X4" s="12"/>
    </row>
    <row r="5" spans="1:24" ht="16.899999999999999" customHeight="1" x14ac:dyDescent="0.15">
      <c r="A5" s="13" t="s">
        <v>5</v>
      </c>
      <c r="B5" s="35">
        <v>2023</v>
      </c>
      <c r="C5" s="10" t="s">
        <v>3</v>
      </c>
      <c r="D5" s="14">
        <f>DATE($B$5,$B$7,G5)</f>
        <v>45200</v>
      </c>
      <c r="E5" s="37"/>
      <c r="G5" s="11">
        <v>1</v>
      </c>
      <c r="H5" s="15" t="str">
        <f t="shared" ref="H5:H35" si="0">IF(OR($B$5="",$B$7=""),"",TEXT(D5,"aaa"))</f>
        <v>日</v>
      </c>
      <c r="I5" s="38"/>
      <c r="J5" s="25" t="str">
        <f>IF(OR(項目順ﾃﾞｰﾀｴﾘｱ!O4="",項目順ﾃﾞｰﾀｴﾘｱ!O4=0),"",IF(C18="",IF($C$22=1,VLOOKUP(項目順ﾃﾞｰﾀｴﾘｱ!O4,パターン抽出②_1,6,0),IF($C$22=2,VLOOKUP(項目順ﾃﾞｰﾀｴﾘｱ!O4,パターン抽出②_2,6,0),IF($C$22=3,VLOOKUP(項目順ﾃﾞｰﾀｴﾘｱ!O4,パターン抽出②_3,6,0),IF($C$22=4,VLOOKUP(項目順ﾃﾞｰﾀｴﾘｱ!O4,パターン抽出②_4,6,0),IF($C$22=5,VLOOKUP(項目順ﾃﾞｰﾀｴﾘｱ!O4,パターン抽出②_5,6,0),""))))),IF($C$22=1,VLOOKUP(項目順ﾃﾞｰﾀｴﾘｱ!O4,パターン抽出②w_1,6,0),IF($C$22=2,VLOOKUP(項目順ﾃﾞｰﾀｴﾘｱ!O4,パターン抽出②w_2,6,0),IF($C$22=3,VLOOKUP(項目順ﾃﾞｰﾀｴﾘｱ!O4,パターン抽出②w_3,6,0),IF($C$22=4,VLOOKUP(項目順ﾃﾞｰﾀｴﾘｱ!O4,パターン抽出②w_4,6,0),IF($C$22=5,VLOOKUP(項目順ﾃﾞｰﾀｴﾘｱ!O4,パターン抽出②w_5,6,0),"")))))))</f>
        <v/>
      </c>
      <c r="K5" s="26" t="str">
        <f>IF(項目順ﾃﾞｰﾀｴﾘｱ!P4="","",IF($C$18="",IF($C$22=1,VLOOKUP(項目順ﾃﾞｰﾀｴﾘｱ!P4,パターン抽出②_1,6,0),IF($C$22=2,VLOOKUP(項目順ﾃﾞｰﾀｴﾘｱ!P4,パターン抽出②_2,6,0),IF($C$22=3,VLOOKUP(項目順ﾃﾞｰﾀｴﾘｱ!P4,パターン抽出②_3,6,0),IF($C$22=4,VLOOKUP(項目順ﾃﾞｰﾀｴﾘｱ!P4,パターン抽出②_4,6,0),IF($C$22=5,VLOOKUP(項目順ﾃﾞｰﾀｴﾘｱ!P4,パターン抽出②_5,6,0),""))))),IF($C$22=1,VLOOKUP(項目順ﾃﾞｰﾀｴﾘｱ!P4,パターン抽出②w_1,6,0),IF($C$22=2,VLOOKUP(項目順ﾃﾞｰﾀｴﾘｱ!P4,パターン抽出②w_2,6,0),IF($C$22=3,VLOOKUP(項目順ﾃﾞｰﾀｴﾘｱ!P4,パターン抽出②w_3,6,0),IF($C$22=4,VLOOKUP(項目順ﾃﾞｰﾀｴﾘｱ!P4,パターン抽出②w_4,6,0),IF($C$22=5,VLOOKUP(項目順ﾃﾞｰﾀｴﾘｱ!P4,パターン抽出②w_5,6,0),"")))))))</f>
        <v/>
      </c>
      <c r="L5" s="27" t="str">
        <f>IF(項目順ﾃﾞｰﾀｴﾘｱ!Q4="","",IF($C$18="",IF($C$22=1,VLOOKUP(項目順ﾃﾞｰﾀｴﾘｱ!Q4,パターン抽出②_1,6,0),IF($C$22=2,VLOOKUP(項目順ﾃﾞｰﾀｴﾘｱ!Q4,パターン抽出②_2,6,0),IF($C$22=3,VLOOKUP(項目順ﾃﾞｰﾀｴﾘｱ!Q4,パターン抽出②_3,6,0),IF($C$22=4,VLOOKUP(項目順ﾃﾞｰﾀｴﾘｱ!Q4,パターン抽出②_4,6,0),IF($C$22=5,VLOOKUP(項目順ﾃﾞｰﾀｴﾘｱ!Q4,パターン抽出②_5,6,0),""))))),IF($C$22=1,VLOOKUP(項目順ﾃﾞｰﾀｴﾘｱ!Q4,パターン抽出②w_1,6,0),IF($C$22=2,VLOOKUP(項目順ﾃﾞｰﾀｴﾘｱ!Q4,パターン抽出②w_2,6,0),IF($C$22=3,VLOOKUP(項目順ﾃﾞｰﾀｴﾘｱ!Q4,パターン抽出②w_3,6,0),IF($C$22=4,VLOOKUP(項目順ﾃﾞｰﾀｴﾘｱ!Q4,パターン抽出②w_4,6,0),IF($C$22=5,VLOOKUP(項目順ﾃﾞｰﾀｴﾘｱ!Q4,パターン抽出②w_5,6,0),"")))))))</f>
        <v/>
      </c>
    </row>
    <row r="6" spans="1:24" ht="16.899999999999999" customHeight="1" x14ac:dyDescent="0.15">
      <c r="D6" s="14">
        <f t="shared" ref="D6:D35" si="1">DATE($B$5,$B$7,G6)</f>
        <v>45201</v>
      </c>
      <c r="E6" s="37"/>
      <c r="G6" s="11">
        <v>2</v>
      </c>
      <c r="H6" s="15" t="str">
        <f t="shared" si="0"/>
        <v>月</v>
      </c>
      <c r="I6" s="38"/>
      <c r="J6" s="25" t="str">
        <f>IF(項目順ﾃﾞｰﾀｴﾘｱ!O5="","",IF($C$18="",IF($C$22=1,VLOOKUP(項目順ﾃﾞｰﾀｴﾘｱ!O5,パターン抽出②_1,6,0),IF($C$22=2,VLOOKUP(項目順ﾃﾞｰﾀｴﾘｱ!O5,パターン抽出②_2,6,0),IF($C$22=3,VLOOKUP(項目順ﾃﾞｰﾀｴﾘｱ!O5,パターン抽出②_3,6,0),IF($C$22=4,VLOOKUP(項目順ﾃﾞｰﾀｴﾘｱ!O5,パターン抽出②_4,6,0),IF($C$22=5,VLOOKUP(項目順ﾃﾞｰﾀｴﾘｱ!O5,パターン抽出②_5,6,0),""))))),IF($C$22=1,VLOOKUP(項目順ﾃﾞｰﾀｴﾘｱ!O5,パターン抽出②w_1,6,0),IF($C$22=2,VLOOKUP(項目順ﾃﾞｰﾀｴﾘｱ!O5,パターン抽出②w_2,6,0),IF($C$22=3,VLOOKUP(項目順ﾃﾞｰﾀｴﾘｱ!O5,パターン抽出②w_3,6,0),IF($C$22=4,VLOOKUP(項目順ﾃﾞｰﾀｴﾘｱ!O5,パターン抽出②w_4,6,0),IF($C$22=5,VLOOKUP(項目順ﾃﾞｰﾀｴﾘｱ!O5,パターン抽出②w_5,6,0),"")))))))</f>
        <v/>
      </c>
      <c r="K6" s="26" t="str">
        <f>IF(項目順ﾃﾞｰﾀｴﾘｱ!P5="","",IF($C$18="",IF($C$22=1,VLOOKUP(項目順ﾃﾞｰﾀｴﾘｱ!P5,パターン抽出②_1,6,0),IF($C$22=2,VLOOKUP(項目順ﾃﾞｰﾀｴﾘｱ!P5,パターン抽出②_2,6,0),IF($C$22=3,VLOOKUP(項目順ﾃﾞｰﾀｴﾘｱ!P5,パターン抽出②_3,6,0),IF($C$22=4,VLOOKUP(項目順ﾃﾞｰﾀｴﾘｱ!P5,パターン抽出②_4,6,0),IF($C$22=5,VLOOKUP(項目順ﾃﾞｰﾀｴﾘｱ!P5,パターン抽出②_5,6,0),""))))),IF($C$22=1,VLOOKUP(項目順ﾃﾞｰﾀｴﾘｱ!P5,パターン抽出②w_1,6,0),IF($C$22=2,VLOOKUP(項目順ﾃﾞｰﾀｴﾘｱ!P5,パターン抽出②w_2,6,0),IF($C$22=3,VLOOKUP(項目順ﾃﾞｰﾀｴﾘｱ!P5,パターン抽出②w_3,6,0),IF($C$22=4,VLOOKUP(項目順ﾃﾞｰﾀｴﾘｱ!P5,パターン抽出②w_4,6,0),IF($C$22=5,VLOOKUP(項目順ﾃﾞｰﾀｴﾘｱ!P5,パターン抽出②w_5,6,0),"")))))))</f>
        <v/>
      </c>
      <c r="L6" s="27" t="str">
        <f>IF(項目順ﾃﾞｰﾀｴﾘｱ!Q5="","",IF($C$18="",IF($C$22=1,VLOOKUP(項目順ﾃﾞｰﾀｴﾘｱ!Q5,パターン抽出②_1,6,0),IF($C$22=2,VLOOKUP(項目順ﾃﾞｰﾀｴﾘｱ!Q5,パターン抽出②_2,6,0),IF($C$22=3,VLOOKUP(項目順ﾃﾞｰﾀｴﾘｱ!Q5,パターン抽出②_3,6,0),IF($C$22=4,VLOOKUP(項目順ﾃﾞｰﾀｴﾘｱ!Q5,パターン抽出②_4,6,0),IF($C$22=5,VLOOKUP(項目順ﾃﾞｰﾀｴﾘｱ!Q5,パターン抽出②_5,6,0),""))))),IF($C$22=1,VLOOKUP(項目順ﾃﾞｰﾀｴﾘｱ!Q5,パターン抽出②w_1,6,0),IF($C$22=2,VLOOKUP(項目順ﾃﾞｰﾀｴﾘｱ!Q5,パターン抽出②w_2,6,0),IF($C$22=3,VLOOKUP(項目順ﾃﾞｰﾀｴﾘｱ!Q5,パターン抽出②w_3,6,0),IF($C$22=4,VLOOKUP(項目順ﾃﾞｰﾀｴﾘｱ!Q5,パターン抽出②w_4,6,0),IF($C$22=5,VLOOKUP(項目順ﾃﾞｰﾀｴﾘｱ!Q5,パターン抽出②w_5,6,0),"")))))))</f>
        <v/>
      </c>
    </row>
    <row r="7" spans="1:24" ht="16.899999999999999" customHeight="1" x14ac:dyDescent="0.15">
      <c r="A7" s="13" t="s">
        <v>6</v>
      </c>
      <c r="B7" s="35">
        <v>10</v>
      </c>
      <c r="C7" s="10" t="s">
        <v>0</v>
      </c>
      <c r="D7" s="14">
        <f t="shared" si="1"/>
        <v>45202</v>
      </c>
      <c r="E7" s="37"/>
      <c r="G7" s="11">
        <v>3</v>
      </c>
      <c r="H7" s="15" t="str">
        <f t="shared" si="0"/>
        <v>火</v>
      </c>
      <c r="I7" s="38"/>
      <c r="J7" s="25" t="str">
        <f>IF(項目順ﾃﾞｰﾀｴﾘｱ!O6="","",IF($C$18="",IF($C$22=1,VLOOKUP(項目順ﾃﾞｰﾀｴﾘｱ!O6,パターン抽出②_1,6,0),IF($C$22=2,VLOOKUP(項目順ﾃﾞｰﾀｴﾘｱ!O6,パターン抽出②_2,6,0),IF($C$22=3,VLOOKUP(項目順ﾃﾞｰﾀｴﾘｱ!O6,パターン抽出②_3,6,0),IF($C$22=4,VLOOKUP(項目順ﾃﾞｰﾀｴﾘｱ!O6,パターン抽出②_4,6,0),IF($C$22=5,VLOOKUP(項目順ﾃﾞｰﾀｴﾘｱ!O6,パターン抽出②_5,6,0),""))))),IF($C$22=1,VLOOKUP(項目順ﾃﾞｰﾀｴﾘｱ!O6,パターン抽出②w_1,6,0),IF($C$22=2,VLOOKUP(項目順ﾃﾞｰﾀｴﾘｱ!O6,パターン抽出②w_2,6,0),IF($C$22=3,VLOOKUP(項目順ﾃﾞｰﾀｴﾘｱ!O6,パターン抽出②w_3,6,0),IF($C$22=4,VLOOKUP(項目順ﾃﾞｰﾀｴﾘｱ!O6,パターン抽出②w_4,6,0),IF($C$22=5,VLOOKUP(項目順ﾃﾞｰﾀｴﾘｱ!O6,パターン抽出②w_5,6,0),"")))))))</f>
        <v/>
      </c>
      <c r="K7" s="26" t="str">
        <f>IF(項目順ﾃﾞｰﾀｴﾘｱ!P6="","",IF($C$18="",IF($C$22=1,VLOOKUP(項目順ﾃﾞｰﾀｴﾘｱ!P6,パターン抽出②_1,6,0),IF($C$22=2,VLOOKUP(項目順ﾃﾞｰﾀｴﾘｱ!P6,パターン抽出②_2,6,0),IF($C$22=3,VLOOKUP(項目順ﾃﾞｰﾀｴﾘｱ!P6,パターン抽出②_3,6,0),IF($C$22=4,VLOOKUP(項目順ﾃﾞｰﾀｴﾘｱ!P6,パターン抽出②_4,6,0),IF($C$22=5,VLOOKUP(項目順ﾃﾞｰﾀｴﾘｱ!P6,パターン抽出②_5,6,0),""))))),IF($C$22=1,VLOOKUP(項目順ﾃﾞｰﾀｴﾘｱ!P6,パターン抽出②w_1,6,0),IF($C$22=2,VLOOKUP(項目順ﾃﾞｰﾀｴﾘｱ!P6,パターン抽出②w_2,6,0),IF($C$22=3,VLOOKUP(項目順ﾃﾞｰﾀｴﾘｱ!P6,パターン抽出②w_3,6,0),IF($C$22=4,VLOOKUP(項目順ﾃﾞｰﾀｴﾘｱ!P6,パターン抽出②w_4,6,0),IF($C$22=5,VLOOKUP(項目順ﾃﾞｰﾀｴﾘｱ!P6,パターン抽出②w_5,6,0),"")))))))</f>
        <v/>
      </c>
      <c r="L7" s="27" t="str">
        <f>IF(項目順ﾃﾞｰﾀｴﾘｱ!Q6="","",IF($C$18="",IF($C$22=1,VLOOKUP(項目順ﾃﾞｰﾀｴﾘｱ!Q6,パターン抽出②_1,6,0),IF($C$22=2,VLOOKUP(項目順ﾃﾞｰﾀｴﾘｱ!Q6,パターン抽出②_2,6,0),IF($C$22=3,VLOOKUP(項目順ﾃﾞｰﾀｴﾘｱ!Q6,パターン抽出②_3,6,0),IF($C$22=4,VLOOKUP(項目順ﾃﾞｰﾀｴﾘｱ!Q6,パターン抽出②_4,6,0),IF($C$22=5,VLOOKUP(項目順ﾃﾞｰﾀｴﾘｱ!Q6,パターン抽出②_5,6,0),""))))),IF($C$22=1,VLOOKUP(項目順ﾃﾞｰﾀｴﾘｱ!Q6,パターン抽出②w_1,6,0),IF($C$22=2,VLOOKUP(項目順ﾃﾞｰﾀｴﾘｱ!Q6,パターン抽出②w_2,6,0),IF($C$22=3,VLOOKUP(項目順ﾃﾞｰﾀｴﾘｱ!Q6,パターン抽出②w_3,6,0),IF($C$22=4,VLOOKUP(項目順ﾃﾞｰﾀｴﾘｱ!Q6,パターン抽出②w_4,6,0),IF($C$22=5,VLOOKUP(項目順ﾃﾞｰﾀｴﾘｱ!Q6,パターン抽出②w_5,6,0),"")))))))</f>
        <v/>
      </c>
    </row>
    <row r="8" spans="1:24" ht="16.899999999999999" customHeight="1" x14ac:dyDescent="0.15">
      <c r="A8" s="13"/>
      <c r="B8" s="13"/>
      <c r="D8" s="14">
        <f t="shared" si="1"/>
        <v>45203</v>
      </c>
      <c r="E8" s="37"/>
      <c r="G8" s="11">
        <v>4</v>
      </c>
      <c r="H8" s="15" t="str">
        <f t="shared" si="0"/>
        <v>水</v>
      </c>
      <c r="I8" s="38"/>
      <c r="J8" s="25" t="str">
        <f>IF(項目順ﾃﾞｰﾀｴﾘｱ!O7="","",IF($C$18="",IF($C$22=1,VLOOKUP(項目順ﾃﾞｰﾀｴﾘｱ!O7,パターン抽出②_1,6,0),IF($C$22=2,VLOOKUP(項目順ﾃﾞｰﾀｴﾘｱ!O7,パターン抽出②_2,6,0),IF($C$22=3,VLOOKUP(項目順ﾃﾞｰﾀｴﾘｱ!O7,パターン抽出②_3,6,0),IF($C$22=4,VLOOKUP(項目順ﾃﾞｰﾀｴﾘｱ!O7,パターン抽出②_4,6,0),IF($C$22=5,VLOOKUP(項目順ﾃﾞｰﾀｴﾘｱ!O7,パターン抽出②_5,6,0),""))))),IF($C$22=1,VLOOKUP(項目順ﾃﾞｰﾀｴﾘｱ!O7,パターン抽出②w_1,6,0),IF($C$22=2,VLOOKUP(項目順ﾃﾞｰﾀｴﾘｱ!O7,パターン抽出②w_2,6,0),IF($C$22=3,VLOOKUP(項目順ﾃﾞｰﾀｴﾘｱ!O7,パターン抽出②w_3,6,0),IF($C$22=4,VLOOKUP(項目順ﾃﾞｰﾀｴﾘｱ!O7,パターン抽出②w_4,6,0),IF($C$22=5,VLOOKUP(項目順ﾃﾞｰﾀｴﾘｱ!O7,パターン抽出②w_5,6,0),"")))))))</f>
        <v/>
      </c>
      <c r="K8" s="26" t="str">
        <f>IF(項目順ﾃﾞｰﾀｴﾘｱ!P7="","",IF($C$18="",IF($C$22=1,VLOOKUP(項目順ﾃﾞｰﾀｴﾘｱ!P7,パターン抽出②_1,6,0),IF($C$22=2,VLOOKUP(項目順ﾃﾞｰﾀｴﾘｱ!P7,パターン抽出②_2,6,0),IF($C$22=3,VLOOKUP(項目順ﾃﾞｰﾀｴﾘｱ!P7,パターン抽出②_3,6,0),IF($C$22=4,VLOOKUP(項目順ﾃﾞｰﾀｴﾘｱ!P7,パターン抽出②_4,6,0),IF($C$22=5,VLOOKUP(項目順ﾃﾞｰﾀｴﾘｱ!P7,パターン抽出②_5,6,0),""))))),IF($C$22=1,VLOOKUP(項目順ﾃﾞｰﾀｴﾘｱ!P7,パターン抽出②w_1,6,0),IF($C$22=2,VLOOKUP(項目順ﾃﾞｰﾀｴﾘｱ!P7,パターン抽出②w_2,6,0),IF($C$22=3,VLOOKUP(項目順ﾃﾞｰﾀｴﾘｱ!P7,パターン抽出②w_3,6,0),IF($C$22=4,VLOOKUP(項目順ﾃﾞｰﾀｴﾘｱ!P7,パターン抽出②w_4,6,0),IF($C$22=5,VLOOKUP(項目順ﾃﾞｰﾀｴﾘｱ!P7,パターン抽出②w_5,6,0),"")))))))</f>
        <v/>
      </c>
      <c r="L8" s="27" t="str">
        <f>IF(項目順ﾃﾞｰﾀｴﾘｱ!Q7="","",IF($C$18="",IF($C$22=1,VLOOKUP(項目順ﾃﾞｰﾀｴﾘｱ!Q7,パターン抽出②_1,6,0),IF($C$22=2,VLOOKUP(項目順ﾃﾞｰﾀｴﾘｱ!Q7,パターン抽出②_2,6,0),IF($C$22=3,VLOOKUP(項目順ﾃﾞｰﾀｴﾘｱ!Q7,パターン抽出②_3,6,0),IF($C$22=4,VLOOKUP(項目順ﾃﾞｰﾀｴﾘｱ!Q7,パターン抽出②_4,6,0),IF($C$22=5,VLOOKUP(項目順ﾃﾞｰﾀｴﾘｱ!Q7,パターン抽出②_5,6,0),""))))),IF($C$22=1,VLOOKUP(項目順ﾃﾞｰﾀｴﾘｱ!Q7,パターン抽出②w_1,6,0),IF($C$22=2,VLOOKUP(項目順ﾃﾞｰﾀｴﾘｱ!Q7,パターン抽出②w_2,6,0),IF($C$22=3,VLOOKUP(項目順ﾃﾞｰﾀｴﾘｱ!Q7,パターン抽出②w_3,6,0),IF($C$22=4,VLOOKUP(項目順ﾃﾞｰﾀｴﾘｱ!Q7,パターン抽出②w_4,6,0),IF($C$22=5,VLOOKUP(項目順ﾃﾞｰﾀｴﾘｱ!Q7,パターン抽出②w_5,6,0),"")))))))</f>
        <v/>
      </c>
    </row>
    <row r="9" spans="1:24" ht="16.899999999999999" customHeight="1" x14ac:dyDescent="0.15">
      <c r="A9" s="134" t="str">
        <f>IF(C24="○","以下の設定変更不可","")</f>
        <v/>
      </c>
      <c r="B9" s="134"/>
      <c r="C9" s="134"/>
      <c r="D9" s="14">
        <f t="shared" si="1"/>
        <v>45204</v>
      </c>
      <c r="E9" s="37"/>
      <c r="G9" s="11">
        <v>5</v>
      </c>
      <c r="H9" s="15" t="str">
        <f t="shared" si="0"/>
        <v>木</v>
      </c>
      <c r="I9" s="38"/>
      <c r="J9" s="25" t="str">
        <f>IF(項目順ﾃﾞｰﾀｴﾘｱ!O8="","",IF($C$18="",IF($C$22=1,VLOOKUP(項目順ﾃﾞｰﾀｴﾘｱ!O8,パターン抽出②_1,6,0),IF($C$22=2,VLOOKUP(項目順ﾃﾞｰﾀｴﾘｱ!O8,パターン抽出②_2,6,0),IF($C$22=3,VLOOKUP(項目順ﾃﾞｰﾀｴﾘｱ!O8,パターン抽出②_3,6,0),IF($C$22=4,VLOOKUP(項目順ﾃﾞｰﾀｴﾘｱ!O8,パターン抽出②_4,6,0),IF($C$22=5,VLOOKUP(項目順ﾃﾞｰﾀｴﾘｱ!O8,パターン抽出②_5,6,0),""))))),IF($C$22=1,VLOOKUP(項目順ﾃﾞｰﾀｴﾘｱ!O8,パターン抽出②w_1,6,0),IF($C$22=2,VLOOKUP(項目順ﾃﾞｰﾀｴﾘｱ!O8,パターン抽出②w_2,6,0),IF($C$22=3,VLOOKUP(項目順ﾃﾞｰﾀｴﾘｱ!O8,パターン抽出②w_3,6,0),IF($C$22=4,VLOOKUP(項目順ﾃﾞｰﾀｴﾘｱ!O8,パターン抽出②w_4,6,0),IF($C$22=5,VLOOKUP(項目順ﾃﾞｰﾀｴﾘｱ!O8,パターン抽出②w_5,6,0),"")))))))</f>
        <v/>
      </c>
      <c r="K9" s="26" t="str">
        <f>IF(項目順ﾃﾞｰﾀｴﾘｱ!P8="","",IF($C$18="",IF($C$22=1,VLOOKUP(項目順ﾃﾞｰﾀｴﾘｱ!P8,パターン抽出②_1,6,0),IF($C$22=2,VLOOKUP(項目順ﾃﾞｰﾀｴﾘｱ!P8,パターン抽出②_2,6,0),IF($C$22=3,VLOOKUP(項目順ﾃﾞｰﾀｴﾘｱ!P8,パターン抽出②_3,6,0),IF($C$22=4,VLOOKUP(項目順ﾃﾞｰﾀｴﾘｱ!P8,パターン抽出②_4,6,0),IF($C$22=5,VLOOKUP(項目順ﾃﾞｰﾀｴﾘｱ!P8,パターン抽出②_5,6,0),""))))),IF($C$22=1,VLOOKUP(項目順ﾃﾞｰﾀｴﾘｱ!P8,パターン抽出②w_1,6,0),IF($C$22=2,VLOOKUP(項目順ﾃﾞｰﾀｴﾘｱ!P8,パターン抽出②w_2,6,0),IF($C$22=3,VLOOKUP(項目順ﾃﾞｰﾀｴﾘｱ!P8,パターン抽出②w_3,6,0),IF($C$22=4,VLOOKUP(項目順ﾃﾞｰﾀｴﾘｱ!P8,パターン抽出②w_4,6,0),IF($C$22=5,VLOOKUP(項目順ﾃﾞｰﾀｴﾘｱ!P8,パターン抽出②w_5,6,0),"")))))))</f>
        <v/>
      </c>
      <c r="L9" s="27" t="str">
        <f>IF(項目順ﾃﾞｰﾀｴﾘｱ!Q8="","",IF($C$18="",IF($C$22=1,VLOOKUP(項目順ﾃﾞｰﾀｴﾘｱ!Q8,パターン抽出②_1,6,0),IF($C$22=2,VLOOKUP(項目順ﾃﾞｰﾀｴﾘｱ!Q8,パターン抽出②_2,6,0),IF($C$22=3,VLOOKUP(項目順ﾃﾞｰﾀｴﾘｱ!Q8,パターン抽出②_3,6,0),IF($C$22=4,VLOOKUP(項目順ﾃﾞｰﾀｴﾘｱ!Q8,パターン抽出②_4,6,0),IF($C$22=5,VLOOKUP(項目順ﾃﾞｰﾀｴﾘｱ!Q8,パターン抽出②_5,6,0),""))))),IF($C$22=1,VLOOKUP(項目順ﾃﾞｰﾀｴﾘｱ!Q8,パターン抽出②w_1,6,0),IF($C$22=2,VLOOKUP(項目順ﾃﾞｰﾀｴﾘｱ!Q8,パターン抽出②w_2,6,0),IF($C$22=3,VLOOKUP(項目順ﾃﾞｰﾀｴﾘｱ!Q8,パターン抽出②w_3,6,0),IF($C$22=4,VLOOKUP(項目順ﾃﾞｰﾀｴﾘｱ!Q8,パターン抽出②w_4,6,0),IF($C$22=5,VLOOKUP(項目順ﾃﾞｰﾀｴﾘｱ!Q8,パターン抽出②w_5,6,0),"")))))))</f>
        <v/>
      </c>
    </row>
    <row r="10" spans="1:24" ht="16.899999999999999" customHeight="1" x14ac:dyDescent="0.15">
      <c r="A10" s="13" t="s">
        <v>60</v>
      </c>
      <c r="B10" s="16" t="s">
        <v>45</v>
      </c>
      <c r="C10" s="39"/>
      <c r="D10" s="14">
        <f t="shared" si="1"/>
        <v>45205</v>
      </c>
      <c r="E10" s="37"/>
      <c r="G10" s="11">
        <v>6</v>
      </c>
      <c r="H10" s="15" t="str">
        <f t="shared" si="0"/>
        <v>金</v>
      </c>
      <c r="I10" s="38"/>
      <c r="J10" s="25" t="str">
        <f>IF(項目順ﾃﾞｰﾀｴﾘｱ!O9="","",IF($C$18="",IF($C$22=1,VLOOKUP(項目順ﾃﾞｰﾀｴﾘｱ!O9,パターン抽出②_1,6,0),IF($C$22=2,VLOOKUP(項目順ﾃﾞｰﾀｴﾘｱ!O9,パターン抽出②_2,6,0),IF($C$22=3,VLOOKUP(項目順ﾃﾞｰﾀｴﾘｱ!O9,パターン抽出②_3,6,0),IF($C$22=4,VLOOKUP(項目順ﾃﾞｰﾀｴﾘｱ!O9,パターン抽出②_4,6,0),IF($C$22=5,VLOOKUP(項目順ﾃﾞｰﾀｴﾘｱ!O9,パターン抽出②_5,6,0),""))))),IF($C$22=1,VLOOKUP(項目順ﾃﾞｰﾀｴﾘｱ!O9,パターン抽出②w_1,6,0),IF($C$22=2,VLOOKUP(項目順ﾃﾞｰﾀｴﾘｱ!O9,パターン抽出②w_2,6,0),IF($C$22=3,VLOOKUP(項目順ﾃﾞｰﾀｴﾘｱ!O9,パターン抽出②w_3,6,0),IF($C$22=4,VLOOKUP(項目順ﾃﾞｰﾀｴﾘｱ!O9,パターン抽出②w_4,6,0),IF($C$22=5,VLOOKUP(項目順ﾃﾞｰﾀｴﾘｱ!O9,パターン抽出②w_5,6,0),"")))))))</f>
        <v/>
      </c>
      <c r="K10" s="26" t="str">
        <f>IF(項目順ﾃﾞｰﾀｴﾘｱ!P9="","",IF($C$18="",IF($C$22=1,VLOOKUP(項目順ﾃﾞｰﾀｴﾘｱ!P9,パターン抽出②_1,6,0),IF($C$22=2,VLOOKUP(項目順ﾃﾞｰﾀｴﾘｱ!P9,パターン抽出②_2,6,0),IF($C$22=3,VLOOKUP(項目順ﾃﾞｰﾀｴﾘｱ!P9,パターン抽出②_3,6,0),IF($C$22=4,VLOOKUP(項目順ﾃﾞｰﾀｴﾘｱ!P9,パターン抽出②_4,6,0),IF($C$22=5,VLOOKUP(項目順ﾃﾞｰﾀｴﾘｱ!P9,パターン抽出②_5,6,0),""))))),IF($C$22=1,VLOOKUP(項目順ﾃﾞｰﾀｴﾘｱ!P9,パターン抽出②w_1,6,0),IF($C$22=2,VLOOKUP(項目順ﾃﾞｰﾀｴﾘｱ!P9,パターン抽出②w_2,6,0),IF($C$22=3,VLOOKUP(項目順ﾃﾞｰﾀｴﾘｱ!P9,パターン抽出②w_3,6,0),IF($C$22=4,VLOOKUP(項目順ﾃﾞｰﾀｴﾘｱ!P9,パターン抽出②w_4,6,0),IF($C$22=5,VLOOKUP(項目順ﾃﾞｰﾀｴﾘｱ!P9,パターン抽出②w_5,6,0),"")))))))</f>
        <v/>
      </c>
      <c r="L10" s="27" t="str">
        <f>IF(項目順ﾃﾞｰﾀｴﾘｱ!Q9="","",IF($C$18="",IF($C$22=1,VLOOKUP(項目順ﾃﾞｰﾀｴﾘｱ!Q9,パターン抽出②_1,6,0),IF($C$22=2,VLOOKUP(項目順ﾃﾞｰﾀｴﾘｱ!Q9,パターン抽出②_2,6,0),IF($C$22=3,VLOOKUP(項目順ﾃﾞｰﾀｴﾘｱ!Q9,パターン抽出②_3,6,0),IF($C$22=4,VLOOKUP(項目順ﾃﾞｰﾀｴﾘｱ!Q9,パターン抽出②_4,6,0),IF($C$22=5,VLOOKUP(項目順ﾃﾞｰﾀｴﾘｱ!Q9,パターン抽出②_5,6,0),""))))),IF($C$22=1,VLOOKUP(項目順ﾃﾞｰﾀｴﾘｱ!Q9,パターン抽出②w_1,6,0),IF($C$22=2,VLOOKUP(項目順ﾃﾞｰﾀｴﾘｱ!Q9,パターン抽出②w_2,6,0),IF($C$22=3,VLOOKUP(項目順ﾃﾞｰﾀｴﾘｱ!Q9,パターン抽出②w_3,6,0),IF($C$22=4,VLOOKUP(項目順ﾃﾞｰﾀｴﾘｱ!Q9,パターン抽出②w_4,6,0),IF($C$22=5,VLOOKUP(項目順ﾃﾞｰﾀｴﾘｱ!Q9,パターン抽出②w_5,6,0),"")))))))</f>
        <v/>
      </c>
    </row>
    <row r="11" spans="1:24" ht="16.899999999999999" customHeight="1" x14ac:dyDescent="0.15">
      <c r="A11" s="18" t="str">
        <f>IF(COUNT(C10:C14)=1,IF(AVERAGE(C10:C14)=1,0,100),IF(COUNT(C10:C14)=2,IF(AVERAGE(C10:C14)=1.5,1,100),IF(COUNT(C10:C14)=3,IF(AVERAGE(C10:C14)=2,1,100),IF(COUNT(C10:C14)=4,IF(AVERAGE(C10:C14)=2.5,1,100),IF(COUNT(C10:C14)=5,IF(AVERAGE(C10:C14)=3,1,100),"")))))</f>
        <v/>
      </c>
      <c r="B11" s="16" t="s">
        <v>46</v>
      </c>
      <c r="C11" s="39"/>
      <c r="D11" s="14">
        <f t="shared" si="1"/>
        <v>45206</v>
      </c>
      <c r="E11" s="37"/>
      <c r="G11" s="11">
        <v>7</v>
      </c>
      <c r="H11" s="15" t="str">
        <f t="shared" si="0"/>
        <v>土</v>
      </c>
      <c r="I11" s="38"/>
      <c r="J11" s="25" t="str">
        <f>IF(項目順ﾃﾞｰﾀｴﾘｱ!O10="","",IF($C$18="",IF($C$22=1,VLOOKUP(項目順ﾃﾞｰﾀｴﾘｱ!O10,パターン抽出②_1,6,0),IF($C$22=2,VLOOKUP(項目順ﾃﾞｰﾀｴﾘｱ!O10,パターン抽出②_2,6,0),IF($C$22=3,VLOOKUP(項目順ﾃﾞｰﾀｴﾘｱ!O10,パターン抽出②_3,6,0),IF($C$22=4,VLOOKUP(項目順ﾃﾞｰﾀｴﾘｱ!O10,パターン抽出②_4,6,0),IF($C$22=5,VLOOKUP(項目順ﾃﾞｰﾀｴﾘｱ!O10,パターン抽出②_5,6,0),""))))),IF($C$22=1,VLOOKUP(項目順ﾃﾞｰﾀｴﾘｱ!O10,パターン抽出②w_1,6,0),IF($C$22=2,VLOOKUP(項目順ﾃﾞｰﾀｴﾘｱ!O10,パターン抽出②w_2,6,0),IF($C$22=3,VLOOKUP(項目順ﾃﾞｰﾀｴﾘｱ!O10,パターン抽出②w_3,6,0),IF($C$22=4,VLOOKUP(項目順ﾃﾞｰﾀｴﾘｱ!O10,パターン抽出②w_4,6,0),IF($C$22=5,VLOOKUP(項目順ﾃﾞｰﾀｴﾘｱ!O10,パターン抽出②w_5,6,0),"")))))))</f>
        <v/>
      </c>
      <c r="K11" s="26" t="str">
        <f>IF(項目順ﾃﾞｰﾀｴﾘｱ!P10="","",IF($C$18="",IF($C$22=1,VLOOKUP(項目順ﾃﾞｰﾀｴﾘｱ!P10,パターン抽出②_1,6,0),IF($C$22=2,VLOOKUP(項目順ﾃﾞｰﾀｴﾘｱ!P10,パターン抽出②_2,6,0),IF($C$22=3,VLOOKUP(項目順ﾃﾞｰﾀｴﾘｱ!P10,パターン抽出②_3,6,0),IF($C$22=4,VLOOKUP(項目順ﾃﾞｰﾀｴﾘｱ!P10,パターン抽出②_4,6,0),IF($C$22=5,VLOOKUP(項目順ﾃﾞｰﾀｴﾘｱ!P10,パターン抽出②_5,6,0),""))))),IF($C$22=1,VLOOKUP(項目順ﾃﾞｰﾀｴﾘｱ!P10,パターン抽出②w_1,6,0),IF($C$22=2,VLOOKUP(項目順ﾃﾞｰﾀｴﾘｱ!P10,パターン抽出②w_2,6,0),IF($C$22=3,VLOOKUP(項目順ﾃﾞｰﾀｴﾘｱ!P10,パターン抽出②w_3,6,0),IF($C$22=4,VLOOKUP(項目順ﾃﾞｰﾀｴﾘｱ!P10,パターン抽出②w_4,6,0),IF($C$22=5,VLOOKUP(項目順ﾃﾞｰﾀｴﾘｱ!P10,パターン抽出②w_5,6,0),"")))))))</f>
        <v/>
      </c>
      <c r="L11" s="27" t="str">
        <f>IF(項目順ﾃﾞｰﾀｴﾘｱ!Q10="","",IF($C$18="",IF($C$22=1,VLOOKUP(項目順ﾃﾞｰﾀｴﾘｱ!Q10,パターン抽出②_1,6,0),IF($C$22=2,VLOOKUP(項目順ﾃﾞｰﾀｴﾘｱ!Q10,パターン抽出②_2,6,0),IF($C$22=3,VLOOKUP(項目順ﾃﾞｰﾀｴﾘｱ!Q10,パターン抽出②_3,6,0),IF($C$22=4,VLOOKUP(項目順ﾃﾞｰﾀｴﾘｱ!Q10,パターン抽出②_4,6,0),IF($C$22=5,VLOOKUP(項目順ﾃﾞｰﾀｴﾘｱ!Q10,パターン抽出②_5,6,0),""))))),IF($C$22=1,VLOOKUP(項目順ﾃﾞｰﾀｴﾘｱ!Q10,パターン抽出②w_1,6,0),IF($C$22=2,VLOOKUP(項目順ﾃﾞｰﾀｴﾘｱ!Q10,パターン抽出②w_2,6,0),IF($C$22=3,VLOOKUP(項目順ﾃﾞｰﾀｴﾘｱ!Q10,パターン抽出②w_3,6,0),IF($C$22=4,VLOOKUP(項目順ﾃﾞｰﾀｴﾘｱ!Q10,パターン抽出②w_4,6,0),IF($C$22=5,VLOOKUP(項目順ﾃﾞｰﾀｴﾘｱ!Q10,パターン抽出②w_5,6,0),"")))))))</f>
        <v/>
      </c>
    </row>
    <row r="12" spans="1:24" ht="16.899999999999999" customHeight="1" x14ac:dyDescent="0.15">
      <c r="B12" s="16" t="s">
        <v>48</v>
      </c>
      <c r="C12" s="39"/>
      <c r="D12" s="14">
        <f t="shared" si="1"/>
        <v>45207</v>
      </c>
      <c r="E12" s="37"/>
      <c r="G12" s="11">
        <v>8</v>
      </c>
      <c r="H12" s="15" t="str">
        <f t="shared" si="0"/>
        <v>日</v>
      </c>
      <c r="I12" s="38"/>
      <c r="J12" s="25" t="str">
        <f>IF(項目順ﾃﾞｰﾀｴﾘｱ!O11="","",IF($C$18="",IF($C$22=1,VLOOKUP(項目順ﾃﾞｰﾀｴﾘｱ!O11,パターン抽出②_1,6,0),IF($C$22=2,VLOOKUP(項目順ﾃﾞｰﾀｴﾘｱ!O11,パターン抽出②_2,6,0),IF($C$22=3,VLOOKUP(項目順ﾃﾞｰﾀｴﾘｱ!O11,パターン抽出②_3,6,0),IF($C$22=4,VLOOKUP(項目順ﾃﾞｰﾀｴﾘｱ!O11,パターン抽出②_4,6,0),IF($C$22=5,VLOOKUP(項目順ﾃﾞｰﾀｴﾘｱ!O11,パターン抽出②_5,6,0),""))))),IF($C$22=1,VLOOKUP(項目順ﾃﾞｰﾀｴﾘｱ!O11,パターン抽出②w_1,6,0),IF($C$22=2,VLOOKUP(項目順ﾃﾞｰﾀｴﾘｱ!O11,パターン抽出②w_2,6,0),IF($C$22=3,VLOOKUP(項目順ﾃﾞｰﾀｴﾘｱ!O11,パターン抽出②w_3,6,0),IF($C$22=4,VLOOKUP(項目順ﾃﾞｰﾀｴﾘｱ!O11,パターン抽出②w_4,6,0),IF($C$22=5,VLOOKUP(項目順ﾃﾞｰﾀｴﾘｱ!O11,パターン抽出②w_5,6,0),"")))))))</f>
        <v/>
      </c>
      <c r="K12" s="26" t="str">
        <f>IF(項目順ﾃﾞｰﾀｴﾘｱ!P11="","",IF($C$18="",IF($C$22=1,VLOOKUP(項目順ﾃﾞｰﾀｴﾘｱ!P11,パターン抽出②_1,6,0),IF($C$22=2,VLOOKUP(項目順ﾃﾞｰﾀｴﾘｱ!P11,パターン抽出②_2,6,0),IF($C$22=3,VLOOKUP(項目順ﾃﾞｰﾀｴﾘｱ!P11,パターン抽出②_3,6,0),IF($C$22=4,VLOOKUP(項目順ﾃﾞｰﾀｴﾘｱ!P11,パターン抽出②_4,6,0),IF($C$22=5,VLOOKUP(項目順ﾃﾞｰﾀｴﾘｱ!P11,パターン抽出②_5,6,0),""))))),IF($C$22=1,VLOOKUP(項目順ﾃﾞｰﾀｴﾘｱ!P11,パターン抽出②w_1,6,0),IF($C$22=2,VLOOKUP(項目順ﾃﾞｰﾀｴﾘｱ!P11,パターン抽出②w_2,6,0),IF($C$22=3,VLOOKUP(項目順ﾃﾞｰﾀｴﾘｱ!P11,パターン抽出②w_3,6,0),IF($C$22=4,VLOOKUP(項目順ﾃﾞｰﾀｴﾘｱ!P11,パターン抽出②w_4,6,0),IF($C$22=5,VLOOKUP(項目順ﾃﾞｰﾀｴﾘｱ!P11,パターン抽出②w_5,6,0),"")))))))</f>
        <v/>
      </c>
      <c r="L12" s="27" t="str">
        <f>IF(項目順ﾃﾞｰﾀｴﾘｱ!Q11="","",IF($C$18="",IF($C$22=1,VLOOKUP(項目順ﾃﾞｰﾀｴﾘｱ!Q11,パターン抽出②_1,6,0),IF($C$22=2,VLOOKUP(項目順ﾃﾞｰﾀｴﾘｱ!Q11,パターン抽出②_2,6,0),IF($C$22=3,VLOOKUP(項目順ﾃﾞｰﾀｴﾘｱ!Q11,パターン抽出②_3,6,0),IF($C$22=4,VLOOKUP(項目順ﾃﾞｰﾀｴﾘｱ!Q11,パターン抽出②_4,6,0),IF($C$22=5,VLOOKUP(項目順ﾃﾞｰﾀｴﾘｱ!Q11,パターン抽出②_5,6,0),""))))),IF($C$22=1,VLOOKUP(項目順ﾃﾞｰﾀｴﾘｱ!Q11,パターン抽出②w_1,6,0),IF($C$22=2,VLOOKUP(項目順ﾃﾞｰﾀｴﾘｱ!Q11,パターン抽出②w_2,6,0),IF($C$22=3,VLOOKUP(項目順ﾃﾞｰﾀｴﾘｱ!Q11,パターン抽出②w_3,6,0),IF($C$22=4,VLOOKUP(項目順ﾃﾞｰﾀｴﾘｱ!Q11,パターン抽出②w_4,6,0),IF($C$22=5,VLOOKUP(項目順ﾃﾞｰﾀｴﾘｱ!Q11,パターン抽出②w_5,6,0),"")))))))</f>
        <v/>
      </c>
    </row>
    <row r="13" spans="1:24" ht="16.899999999999999" customHeight="1" x14ac:dyDescent="0.15">
      <c r="B13" s="16" t="s">
        <v>47</v>
      </c>
      <c r="C13" s="39"/>
      <c r="D13" s="14">
        <f t="shared" si="1"/>
        <v>45208</v>
      </c>
      <c r="E13" s="37"/>
      <c r="G13" s="11">
        <v>9</v>
      </c>
      <c r="H13" s="15" t="str">
        <f t="shared" si="0"/>
        <v>月</v>
      </c>
      <c r="I13" s="38"/>
      <c r="J13" s="25" t="str">
        <f>IF(項目順ﾃﾞｰﾀｴﾘｱ!O12="","",IF($C$18="",IF($C$22=1,VLOOKUP(項目順ﾃﾞｰﾀｴﾘｱ!O12,パターン抽出②_1,6,0),IF($C$22=2,VLOOKUP(項目順ﾃﾞｰﾀｴﾘｱ!O12,パターン抽出②_2,6,0),IF($C$22=3,VLOOKUP(項目順ﾃﾞｰﾀｴﾘｱ!O12,パターン抽出②_3,6,0),IF($C$22=4,VLOOKUP(項目順ﾃﾞｰﾀｴﾘｱ!O12,パターン抽出②_4,6,0),IF($C$22=5,VLOOKUP(項目順ﾃﾞｰﾀｴﾘｱ!O12,パターン抽出②_5,6,0),""))))),IF($C$22=1,VLOOKUP(項目順ﾃﾞｰﾀｴﾘｱ!O12,パターン抽出②w_1,6,0),IF($C$22=2,VLOOKUP(項目順ﾃﾞｰﾀｴﾘｱ!O12,パターン抽出②w_2,6,0),IF($C$22=3,VLOOKUP(項目順ﾃﾞｰﾀｴﾘｱ!O12,パターン抽出②w_3,6,0),IF($C$22=4,VLOOKUP(項目順ﾃﾞｰﾀｴﾘｱ!O12,パターン抽出②w_4,6,0),IF($C$22=5,VLOOKUP(項目順ﾃﾞｰﾀｴﾘｱ!O12,パターン抽出②w_5,6,0),"")))))))</f>
        <v/>
      </c>
      <c r="K13" s="26" t="str">
        <f>IF(項目順ﾃﾞｰﾀｴﾘｱ!P12="","",IF($C$18="",IF($C$22=1,VLOOKUP(項目順ﾃﾞｰﾀｴﾘｱ!P12,パターン抽出②_1,6,0),IF($C$22=2,VLOOKUP(項目順ﾃﾞｰﾀｴﾘｱ!P12,パターン抽出②_2,6,0),IF($C$22=3,VLOOKUP(項目順ﾃﾞｰﾀｴﾘｱ!P12,パターン抽出②_3,6,0),IF($C$22=4,VLOOKUP(項目順ﾃﾞｰﾀｴﾘｱ!P12,パターン抽出②_4,6,0),IF($C$22=5,VLOOKUP(項目順ﾃﾞｰﾀｴﾘｱ!P12,パターン抽出②_5,6,0),""))))),IF($C$22=1,VLOOKUP(項目順ﾃﾞｰﾀｴﾘｱ!P12,パターン抽出②w_1,6,0),IF($C$22=2,VLOOKUP(項目順ﾃﾞｰﾀｴﾘｱ!P12,パターン抽出②w_2,6,0),IF($C$22=3,VLOOKUP(項目順ﾃﾞｰﾀｴﾘｱ!P12,パターン抽出②w_3,6,0),IF($C$22=4,VLOOKUP(項目順ﾃﾞｰﾀｴﾘｱ!P12,パターン抽出②w_4,6,0),IF($C$22=5,VLOOKUP(項目順ﾃﾞｰﾀｴﾘｱ!P12,パターン抽出②w_5,6,0),"")))))))</f>
        <v/>
      </c>
      <c r="L13" s="27" t="str">
        <f>IF(項目順ﾃﾞｰﾀｴﾘｱ!Q12="","",IF($C$18="",IF($C$22=1,VLOOKUP(項目順ﾃﾞｰﾀｴﾘｱ!Q12,パターン抽出②_1,6,0),IF($C$22=2,VLOOKUP(項目順ﾃﾞｰﾀｴﾘｱ!Q12,パターン抽出②_2,6,0),IF($C$22=3,VLOOKUP(項目順ﾃﾞｰﾀｴﾘｱ!Q12,パターン抽出②_3,6,0),IF($C$22=4,VLOOKUP(項目順ﾃﾞｰﾀｴﾘｱ!Q12,パターン抽出②_4,6,0),IF($C$22=5,VLOOKUP(項目順ﾃﾞｰﾀｴﾘｱ!Q12,パターン抽出②_5,6,0),""))))),IF($C$22=1,VLOOKUP(項目順ﾃﾞｰﾀｴﾘｱ!Q12,パターン抽出②w_1,6,0),IF($C$22=2,VLOOKUP(項目順ﾃﾞｰﾀｴﾘｱ!Q12,パターン抽出②w_2,6,0),IF($C$22=3,VLOOKUP(項目順ﾃﾞｰﾀｴﾘｱ!Q12,パターン抽出②w_3,6,0),IF($C$22=4,VLOOKUP(項目順ﾃﾞｰﾀｴﾘｱ!Q12,パターン抽出②w_4,6,0),IF($C$22=5,VLOOKUP(項目順ﾃﾞｰﾀｴﾘｱ!Q12,パターン抽出②w_5,6,0),"")))))))</f>
        <v/>
      </c>
    </row>
    <row r="14" spans="1:24" ht="16.899999999999999" customHeight="1" x14ac:dyDescent="0.15">
      <c r="B14" s="16" t="s">
        <v>49</v>
      </c>
      <c r="C14" s="39"/>
      <c r="D14" s="14">
        <f t="shared" si="1"/>
        <v>45209</v>
      </c>
      <c r="E14" s="37"/>
      <c r="G14" s="11">
        <v>10</v>
      </c>
      <c r="H14" s="15" t="str">
        <f t="shared" si="0"/>
        <v>火</v>
      </c>
      <c r="I14" s="38"/>
      <c r="J14" s="25" t="str">
        <f>IF(項目順ﾃﾞｰﾀｴﾘｱ!O13="","",IF($C$18="",IF($C$22=1,VLOOKUP(項目順ﾃﾞｰﾀｴﾘｱ!O13,パターン抽出②_1,6,0),IF($C$22=2,VLOOKUP(項目順ﾃﾞｰﾀｴﾘｱ!O13,パターン抽出②_2,6,0),IF($C$22=3,VLOOKUP(項目順ﾃﾞｰﾀｴﾘｱ!O13,パターン抽出②_3,6,0),IF($C$22=4,VLOOKUP(項目順ﾃﾞｰﾀｴﾘｱ!O13,パターン抽出②_4,6,0),IF($C$22=5,VLOOKUP(項目順ﾃﾞｰﾀｴﾘｱ!O13,パターン抽出②_5,6,0),""))))),IF($C$22=1,VLOOKUP(項目順ﾃﾞｰﾀｴﾘｱ!O13,パターン抽出②w_1,6,0),IF($C$22=2,VLOOKUP(項目順ﾃﾞｰﾀｴﾘｱ!O13,パターン抽出②w_2,6,0),IF($C$22=3,VLOOKUP(項目順ﾃﾞｰﾀｴﾘｱ!O13,パターン抽出②w_3,6,0),IF($C$22=4,VLOOKUP(項目順ﾃﾞｰﾀｴﾘｱ!O13,パターン抽出②w_4,6,0),IF($C$22=5,VLOOKUP(項目順ﾃﾞｰﾀｴﾘｱ!O13,パターン抽出②w_5,6,0),"")))))))</f>
        <v/>
      </c>
      <c r="K14" s="26" t="str">
        <f>IF(項目順ﾃﾞｰﾀｴﾘｱ!P13="","",IF($C$18="",IF($C$22=1,VLOOKUP(項目順ﾃﾞｰﾀｴﾘｱ!P13,パターン抽出②_1,6,0),IF($C$22=2,VLOOKUP(項目順ﾃﾞｰﾀｴﾘｱ!P13,パターン抽出②_2,6,0),IF($C$22=3,VLOOKUP(項目順ﾃﾞｰﾀｴﾘｱ!P13,パターン抽出②_3,6,0),IF($C$22=4,VLOOKUP(項目順ﾃﾞｰﾀｴﾘｱ!P13,パターン抽出②_4,6,0),IF($C$22=5,VLOOKUP(項目順ﾃﾞｰﾀｴﾘｱ!P13,パターン抽出②_5,6,0),""))))),IF($C$22=1,VLOOKUP(項目順ﾃﾞｰﾀｴﾘｱ!P13,パターン抽出②w_1,6,0),IF($C$22=2,VLOOKUP(項目順ﾃﾞｰﾀｴﾘｱ!P13,パターン抽出②w_2,6,0),IF($C$22=3,VLOOKUP(項目順ﾃﾞｰﾀｴﾘｱ!P13,パターン抽出②w_3,6,0),IF($C$22=4,VLOOKUP(項目順ﾃﾞｰﾀｴﾘｱ!P13,パターン抽出②w_4,6,0),IF($C$22=5,VLOOKUP(項目順ﾃﾞｰﾀｴﾘｱ!P13,パターン抽出②w_5,6,0),"")))))))</f>
        <v/>
      </c>
      <c r="L14" s="27" t="str">
        <f>IF(項目順ﾃﾞｰﾀｴﾘｱ!Q13="","",IF($C$18="",IF($C$22=1,VLOOKUP(項目順ﾃﾞｰﾀｴﾘｱ!Q13,パターン抽出②_1,6,0),IF($C$22=2,VLOOKUP(項目順ﾃﾞｰﾀｴﾘｱ!Q13,パターン抽出②_2,6,0),IF($C$22=3,VLOOKUP(項目順ﾃﾞｰﾀｴﾘｱ!Q13,パターン抽出②_3,6,0),IF($C$22=4,VLOOKUP(項目順ﾃﾞｰﾀｴﾘｱ!Q13,パターン抽出②_4,6,0),IF($C$22=5,VLOOKUP(項目順ﾃﾞｰﾀｴﾘｱ!Q13,パターン抽出②_5,6,0),""))))),IF($C$22=1,VLOOKUP(項目順ﾃﾞｰﾀｴﾘｱ!Q13,パターン抽出②w_1,6,0),IF($C$22=2,VLOOKUP(項目順ﾃﾞｰﾀｴﾘｱ!Q13,パターン抽出②w_2,6,0),IF($C$22=3,VLOOKUP(項目順ﾃﾞｰﾀｴﾘｱ!Q13,パターン抽出②w_3,6,0),IF($C$22=4,VLOOKUP(項目順ﾃﾞｰﾀｴﾘｱ!Q13,パターン抽出②w_4,6,0),IF($C$22=5,VLOOKUP(項目順ﾃﾞｰﾀｴﾘｱ!Q13,パターン抽出②w_5,6,0),"")))))))</f>
        <v/>
      </c>
    </row>
    <row r="15" spans="1:24" ht="16.899999999999999" customHeight="1" x14ac:dyDescent="0.15">
      <c r="A15" s="13"/>
      <c r="B15" s="13"/>
      <c r="C15" s="13"/>
      <c r="D15" s="14">
        <f t="shared" si="1"/>
        <v>45210</v>
      </c>
      <c r="E15" s="37"/>
      <c r="G15" s="11">
        <v>11</v>
      </c>
      <c r="H15" s="15" t="str">
        <f t="shared" si="0"/>
        <v>水</v>
      </c>
      <c r="I15" s="38"/>
      <c r="J15" s="25" t="str">
        <f>IF(項目順ﾃﾞｰﾀｴﾘｱ!O14="","",IF($C$18="",IF($C$22=1,VLOOKUP(項目順ﾃﾞｰﾀｴﾘｱ!O14,パターン抽出②_1,6,0),IF($C$22=2,VLOOKUP(項目順ﾃﾞｰﾀｴﾘｱ!O14,パターン抽出②_2,6,0),IF($C$22=3,VLOOKUP(項目順ﾃﾞｰﾀｴﾘｱ!O14,パターン抽出②_3,6,0),IF($C$22=4,VLOOKUP(項目順ﾃﾞｰﾀｴﾘｱ!O14,パターン抽出②_4,6,0),IF($C$22=5,VLOOKUP(項目順ﾃﾞｰﾀｴﾘｱ!O14,パターン抽出②_5,6,0),""))))),IF($C$22=1,VLOOKUP(項目順ﾃﾞｰﾀｴﾘｱ!O14,パターン抽出②w_1,6,0),IF($C$22=2,VLOOKUP(項目順ﾃﾞｰﾀｴﾘｱ!O14,パターン抽出②w_2,6,0),IF($C$22=3,VLOOKUP(項目順ﾃﾞｰﾀｴﾘｱ!O14,パターン抽出②w_3,6,0),IF($C$22=4,VLOOKUP(項目順ﾃﾞｰﾀｴﾘｱ!O14,パターン抽出②w_4,6,0),IF($C$22=5,VLOOKUP(項目順ﾃﾞｰﾀｴﾘｱ!O14,パターン抽出②w_5,6,0),"")))))))</f>
        <v/>
      </c>
      <c r="K15" s="26" t="str">
        <f>IF(項目順ﾃﾞｰﾀｴﾘｱ!P14="","",IF($C$18="",IF($C$22=1,VLOOKUP(項目順ﾃﾞｰﾀｴﾘｱ!P14,パターン抽出②_1,6,0),IF($C$22=2,VLOOKUP(項目順ﾃﾞｰﾀｴﾘｱ!P14,パターン抽出②_2,6,0),IF($C$22=3,VLOOKUP(項目順ﾃﾞｰﾀｴﾘｱ!P14,パターン抽出②_3,6,0),IF($C$22=4,VLOOKUP(項目順ﾃﾞｰﾀｴﾘｱ!P14,パターン抽出②_4,6,0),IF($C$22=5,VLOOKUP(項目順ﾃﾞｰﾀｴﾘｱ!P14,パターン抽出②_5,6,0),""))))),IF($C$22=1,VLOOKUP(項目順ﾃﾞｰﾀｴﾘｱ!P14,パターン抽出②w_1,6,0),IF($C$22=2,VLOOKUP(項目順ﾃﾞｰﾀｴﾘｱ!P14,パターン抽出②w_2,6,0),IF($C$22=3,VLOOKUP(項目順ﾃﾞｰﾀｴﾘｱ!P14,パターン抽出②w_3,6,0),IF($C$22=4,VLOOKUP(項目順ﾃﾞｰﾀｴﾘｱ!P14,パターン抽出②w_4,6,0),IF($C$22=5,VLOOKUP(項目順ﾃﾞｰﾀｴﾘｱ!P14,パターン抽出②w_5,6,0),"")))))))</f>
        <v/>
      </c>
      <c r="L15" s="27" t="str">
        <f>IF(項目順ﾃﾞｰﾀｴﾘｱ!Q14="","",IF($C$18="",IF($C$22=1,VLOOKUP(項目順ﾃﾞｰﾀｴﾘｱ!Q14,パターン抽出②_1,6,0),IF($C$22=2,VLOOKUP(項目順ﾃﾞｰﾀｴﾘｱ!Q14,パターン抽出②_2,6,0),IF($C$22=3,VLOOKUP(項目順ﾃﾞｰﾀｴﾘｱ!Q14,パターン抽出②_3,6,0),IF($C$22=4,VLOOKUP(項目順ﾃﾞｰﾀｴﾘｱ!Q14,パターン抽出②_4,6,0),IF($C$22=5,VLOOKUP(項目順ﾃﾞｰﾀｴﾘｱ!Q14,パターン抽出②_5,6,0),""))))),IF($C$22=1,VLOOKUP(項目順ﾃﾞｰﾀｴﾘｱ!Q14,パターン抽出②w_1,6,0),IF($C$22=2,VLOOKUP(項目順ﾃﾞｰﾀｴﾘｱ!Q14,パターン抽出②w_2,6,0),IF($C$22=3,VLOOKUP(項目順ﾃﾞｰﾀｴﾘｱ!Q14,パターン抽出②w_3,6,0),IF($C$22=4,VLOOKUP(項目順ﾃﾞｰﾀｴﾘｱ!Q14,パターン抽出②w_4,6,0),IF($C$22=5,VLOOKUP(項目順ﾃﾞｰﾀｴﾘｱ!Q14,パターン抽出②w_5,6,0),"")))))))</f>
        <v/>
      </c>
    </row>
    <row r="16" spans="1:24" ht="16.899999999999999" customHeight="1" x14ac:dyDescent="0.15">
      <c r="A16" s="132" t="s">
        <v>106</v>
      </c>
      <c r="B16" s="132"/>
      <c r="C16" s="36"/>
      <c r="D16" s="14">
        <f t="shared" si="1"/>
        <v>45211</v>
      </c>
      <c r="E16" s="37"/>
      <c r="G16" s="11">
        <v>12</v>
      </c>
      <c r="H16" s="15" t="str">
        <f t="shared" si="0"/>
        <v>木</v>
      </c>
      <c r="I16" s="38"/>
      <c r="J16" s="25" t="str">
        <f>IF(項目順ﾃﾞｰﾀｴﾘｱ!O15="","",IF($C$18="",IF($C$22=1,VLOOKUP(項目順ﾃﾞｰﾀｴﾘｱ!O15,パターン抽出②_1,6,0),IF($C$22=2,VLOOKUP(項目順ﾃﾞｰﾀｴﾘｱ!O15,パターン抽出②_2,6,0),IF($C$22=3,VLOOKUP(項目順ﾃﾞｰﾀｴﾘｱ!O15,パターン抽出②_3,6,0),IF($C$22=4,VLOOKUP(項目順ﾃﾞｰﾀｴﾘｱ!O15,パターン抽出②_4,6,0),IF($C$22=5,VLOOKUP(項目順ﾃﾞｰﾀｴﾘｱ!O15,パターン抽出②_5,6,0),""))))),IF($C$22=1,VLOOKUP(項目順ﾃﾞｰﾀｴﾘｱ!O15,パターン抽出②w_1,6,0),IF($C$22=2,VLOOKUP(項目順ﾃﾞｰﾀｴﾘｱ!O15,パターン抽出②w_2,6,0),IF($C$22=3,VLOOKUP(項目順ﾃﾞｰﾀｴﾘｱ!O15,パターン抽出②w_3,6,0),IF($C$22=4,VLOOKUP(項目順ﾃﾞｰﾀｴﾘｱ!O15,パターン抽出②w_4,6,0),IF($C$22=5,VLOOKUP(項目順ﾃﾞｰﾀｴﾘｱ!O15,パターン抽出②w_5,6,0),"")))))))</f>
        <v/>
      </c>
      <c r="K16" s="26" t="str">
        <f>IF(項目順ﾃﾞｰﾀｴﾘｱ!P15="","",IF($C$18="",IF($C$22=1,VLOOKUP(項目順ﾃﾞｰﾀｴﾘｱ!P15,パターン抽出②_1,6,0),IF($C$22=2,VLOOKUP(項目順ﾃﾞｰﾀｴﾘｱ!P15,パターン抽出②_2,6,0),IF($C$22=3,VLOOKUP(項目順ﾃﾞｰﾀｴﾘｱ!P15,パターン抽出②_3,6,0),IF($C$22=4,VLOOKUP(項目順ﾃﾞｰﾀｴﾘｱ!P15,パターン抽出②_4,6,0),IF($C$22=5,VLOOKUP(項目順ﾃﾞｰﾀｴﾘｱ!P15,パターン抽出②_5,6,0),""))))),IF($C$22=1,VLOOKUP(項目順ﾃﾞｰﾀｴﾘｱ!P15,パターン抽出②w_1,6,0),IF($C$22=2,VLOOKUP(項目順ﾃﾞｰﾀｴﾘｱ!P15,パターン抽出②w_2,6,0),IF($C$22=3,VLOOKUP(項目順ﾃﾞｰﾀｴﾘｱ!P15,パターン抽出②w_3,6,0),IF($C$22=4,VLOOKUP(項目順ﾃﾞｰﾀｴﾘｱ!P15,パターン抽出②w_4,6,0),IF($C$22=5,VLOOKUP(項目順ﾃﾞｰﾀｴﾘｱ!P15,パターン抽出②w_5,6,0),"")))))))</f>
        <v/>
      </c>
      <c r="L16" s="27" t="str">
        <f>IF(項目順ﾃﾞｰﾀｴﾘｱ!Q15="","",IF($C$18="",IF($C$22=1,VLOOKUP(項目順ﾃﾞｰﾀｴﾘｱ!Q15,パターン抽出②_1,6,0),IF($C$22=2,VLOOKUP(項目順ﾃﾞｰﾀｴﾘｱ!Q15,パターン抽出②_2,6,0),IF($C$22=3,VLOOKUP(項目順ﾃﾞｰﾀｴﾘｱ!Q15,パターン抽出②_3,6,0),IF($C$22=4,VLOOKUP(項目順ﾃﾞｰﾀｴﾘｱ!Q15,パターン抽出②_4,6,0),IF($C$22=5,VLOOKUP(項目順ﾃﾞｰﾀｴﾘｱ!Q15,パターン抽出②_5,6,0),""))))),IF($C$22=1,VLOOKUP(項目順ﾃﾞｰﾀｴﾘｱ!Q15,パターン抽出②w_1,6,0),IF($C$22=2,VLOOKUP(項目順ﾃﾞｰﾀｴﾘｱ!Q15,パターン抽出②w_2,6,0),IF($C$22=3,VLOOKUP(項目順ﾃﾞｰﾀｴﾘｱ!Q15,パターン抽出②w_3,6,0),IF($C$22=4,VLOOKUP(項目順ﾃﾞｰﾀｴﾘｱ!Q15,パターン抽出②w_4,6,0),IF($C$22=5,VLOOKUP(項目順ﾃﾞｰﾀｴﾘｱ!Q15,パターン抽出②w_5,6,0),"")))))))</f>
        <v/>
      </c>
    </row>
    <row r="17" spans="1:12" ht="16.899999999999999" customHeight="1" x14ac:dyDescent="0.15">
      <c r="A17" s="132" t="s">
        <v>107</v>
      </c>
      <c r="B17" s="132"/>
      <c r="C17" s="36"/>
      <c r="D17" s="14">
        <f t="shared" si="1"/>
        <v>45212</v>
      </c>
      <c r="E17" s="37"/>
      <c r="G17" s="11">
        <v>13</v>
      </c>
      <c r="H17" s="15" t="str">
        <f t="shared" si="0"/>
        <v>金</v>
      </c>
      <c r="I17" s="38"/>
      <c r="J17" s="25" t="str">
        <f>IF(項目順ﾃﾞｰﾀｴﾘｱ!O16="","",IF($C$18="",IF($C$22=1,VLOOKUP(項目順ﾃﾞｰﾀｴﾘｱ!O16,パターン抽出②_1,6,0),IF($C$22=2,VLOOKUP(項目順ﾃﾞｰﾀｴﾘｱ!O16,パターン抽出②_2,6,0),IF($C$22=3,VLOOKUP(項目順ﾃﾞｰﾀｴﾘｱ!O16,パターン抽出②_3,6,0),IF($C$22=4,VLOOKUP(項目順ﾃﾞｰﾀｴﾘｱ!O16,パターン抽出②_4,6,0),IF($C$22=5,VLOOKUP(項目順ﾃﾞｰﾀｴﾘｱ!O16,パターン抽出②_5,6,0),""))))),IF($C$22=1,VLOOKUP(項目順ﾃﾞｰﾀｴﾘｱ!O16,パターン抽出②w_1,6,0),IF($C$22=2,VLOOKUP(項目順ﾃﾞｰﾀｴﾘｱ!O16,パターン抽出②w_2,6,0),IF($C$22=3,VLOOKUP(項目順ﾃﾞｰﾀｴﾘｱ!O16,パターン抽出②w_3,6,0),IF($C$22=4,VLOOKUP(項目順ﾃﾞｰﾀｴﾘｱ!O16,パターン抽出②w_4,6,0),IF($C$22=5,VLOOKUP(項目順ﾃﾞｰﾀｴﾘｱ!O16,パターン抽出②w_5,6,0),"")))))))</f>
        <v/>
      </c>
      <c r="K17" s="26" t="str">
        <f>IF(項目順ﾃﾞｰﾀｴﾘｱ!P16="","",IF($C$18="",IF($C$22=1,VLOOKUP(項目順ﾃﾞｰﾀｴﾘｱ!P16,パターン抽出②_1,6,0),IF($C$22=2,VLOOKUP(項目順ﾃﾞｰﾀｴﾘｱ!P16,パターン抽出②_2,6,0),IF($C$22=3,VLOOKUP(項目順ﾃﾞｰﾀｴﾘｱ!P16,パターン抽出②_3,6,0),IF($C$22=4,VLOOKUP(項目順ﾃﾞｰﾀｴﾘｱ!P16,パターン抽出②_4,6,0),IF($C$22=5,VLOOKUP(項目順ﾃﾞｰﾀｴﾘｱ!P16,パターン抽出②_5,6,0),""))))),IF($C$22=1,VLOOKUP(項目順ﾃﾞｰﾀｴﾘｱ!P16,パターン抽出②w_1,6,0),IF($C$22=2,VLOOKUP(項目順ﾃﾞｰﾀｴﾘｱ!P16,パターン抽出②w_2,6,0),IF($C$22=3,VLOOKUP(項目順ﾃﾞｰﾀｴﾘｱ!P16,パターン抽出②w_3,6,0),IF($C$22=4,VLOOKUP(項目順ﾃﾞｰﾀｴﾘｱ!P16,パターン抽出②w_4,6,0),IF($C$22=5,VLOOKUP(項目順ﾃﾞｰﾀｴﾘｱ!P16,パターン抽出②w_5,6,0),"")))))))</f>
        <v/>
      </c>
      <c r="L17" s="27" t="str">
        <f>IF(項目順ﾃﾞｰﾀｴﾘｱ!Q16="","",IF($C$18="",IF($C$22=1,VLOOKUP(項目順ﾃﾞｰﾀｴﾘｱ!Q16,パターン抽出②_1,6,0),IF($C$22=2,VLOOKUP(項目順ﾃﾞｰﾀｴﾘｱ!Q16,パターン抽出②_2,6,0),IF($C$22=3,VLOOKUP(項目順ﾃﾞｰﾀｴﾘｱ!Q16,パターン抽出②_3,6,0),IF($C$22=4,VLOOKUP(項目順ﾃﾞｰﾀｴﾘｱ!Q16,パターン抽出②_4,6,0),IF($C$22=5,VLOOKUP(項目順ﾃﾞｰﾀｴﾘｱ!Q16,パターン抽出②_5,6,0),""))))),IF($C$22=1,VLOOKUP(項目順ﾃﾞｰﾀｴﾘｱ!Q16,パターン抽出②w_1,6,0),IF($C$22=2,VLOOKUP(項目順ﾃﾞｰﾀｴﾘｱ!Q16,パターン抽出②w_2,6,0),IF($C$22=3,VLOOKUP(項目順ﾃﾞｰﾀｴﾘｱ!Q16,パターン抽出②w_3,6,0),IF($C$22=4,VLOOKUP(項目順ﾃﾞｰﾀｴﾘｱ!Q16,パターン抽出②w_4,6,0),IF($C$22=5,VLOOKUP(項目順ﾃﾞｰﾀｴﾘｱ!Q16,パターン抽出②w_5,6,0),"")))))))</f>
        <v/>
      </c>
    </row>
    <row r="18" spans="1:12" ht="16.899999999999999" customHeight="1" x14ac:dyDescent="0.15">
      <c r="A18" s="132" t="s">
        <v>146</v>
      </c>
      <c r="B18" s="132"/>
      <c r="C18" s="36"/>
      <c r="D18" s="14">
        <f t="shared" si="1"/>
        <v>45213</v>
      </c>
      <c r="E18" s="37"/>
      <c r="G18" s="11">
        <v>14</v>
      </c>
      <c r="H18" s="15" t="str">
        <f t="shared" si="0"/>
        <v>土</v>
      </c>
      <c r="I18" s="38"/>
      <c r="J18" s="25" t="str">
        <f>IF(項目順ﾃﾞｰﾀｴﾘｱ!O17="","",IF($C$18="",IF($C$22=1,VLOOKUP(項目順ﾃﾞｰﾀｴﾘｱ!O17,パターン抽出②_1,6,0),IF($C$22=2,VLOOKUP(項目順ﾃﾞｰﾀｴﾘｱ!O17,パターン抽出②_2,6,0),IF($C$22=3,VLOOKUP(項目順ﾃﾞｰﾀｴﾘｱ!O17,パターン抽出②_3,6,0),IF($C$22=4,VLOOKUP(項目順ﾃﾞｰﾀｴﾘｱ!O17,パターン抽出②_4,6,0),IF($C$22=5,VLOOKUP(項目順ﾃﾞｰﾀｴﾘｱ!O17,パターン抽出②_5,6,0),""))))),IF($C$22=1,VLOOKUP(項目順ﾃﾞｰﾀｴﾘｱ!O17,パターン抽出②w_1,6,0),IF($C$22=2,VLOOKUP(項目順ﾃﾞｰﾀｴﾘｱ!O17,パターン抽出②w_2,6,0),IF($C$22=3,VLOOKUP(項目順ﾃﾞｰﾀｴﾘｱ!O17,パターン抽出②w_3,6,0),IF($C$22=4,VLOOKUP(項目順ﾃﾞｰﾀｴﾘｱ!O17,パターン抽出②w_4,6,0),IF($C$22=5,VLOOKUP(項目順ﾃﾞｰﾀｴﾘｱ!O17,パターン抽出②w_5,6,0),"")))))))</f>
        <v/>
      </c>
      <c r="K18" s="26" t="str">
        <f>IF(項目順ﾃﾞｰﾀｴﾘｱ!P17="","",IF($C$18="",IF($C$22=1,VLOOKUP(項目順ﾃﾞｰﾀｴﾘｱ!P17,パターン抽出②_1,6,0),IF($C$22=2,VLOOKUP(項目順ﾃﾞｰﾀｴﾘｱ!P17,パターン抽出②_2,6,0),IF($C$22=3,VLOOKUP(項目順ﾃﾞｰﾀｴﾘｱ!P17,パターン抽出②_3,6,0),IF($C$22=4,VLOOKUP(項目順ﾃﾞｰﾀｴﾘｱ!P17,パターン抽出②_4,6,0),IF($C$22=5,VLOOKUP(項目順ﾃﾞｰﾀｴﾘｱ!P17,パターン抽出②_5,6,0),""))))),IF($C$22=1,VLOOKUP(項目順ﾃﾞｰﾀｴﾘｱ!P17,パターン抽出②w_1,6,0),IF($C$22=2,VLOOKUP(項目順ﾃﾞｰﾀｴﾘｱ!P17,パターン抽出②w_2,6,0),IF($C$22=3,VLOOKUP(項目順ﾃﾞｰﾀｴﾘｱ!P17,パターン抽出②w_3,6,0),IF($C$22=4,VLOOKUP(項目順ﾃﾞｰﾀｴﾘｱ!P17,パターン抽出②w_4,6,0),IF($C$22=5,VLOOKUP(項目順ﾃﾞｰﾀｴﾘｱ!P17,パターン抽出②w_5,6,0),"")))))))</f>
        <v/>
      </c>
      <c r="L18" s="27" t="str">
        <f>IF(項目順ﾃﾞｰﾀｴﾘｱ!Q17="","",IF($C$18="",IF($C$22=1,VLOOKUP(項目順ﾃﾞｰﾀｴﾘｱ!Q17,パターン抽出②_1,6,0),IF($C$22=2,VLOOKUP(項目順ﾃﾞｰﾀｴﾘｱ!Q17,パターン抽出②_2,6,0),IF($C$22=3,VLOOKUP(項目順ﾃﾞｰﾀｴﾘｱ!Q17,パターン抽出②_3,6,0),IF($C$22=4,VLOOKUP(項目順ﾃﾞｰﾀｴﾘｱ!Q17,パターン抽出②_4,6,0),IF($C$22=5,VLOOKUP(項目順ﾃﾞｰﾀｴﾘｱ!Q17,パターン抽出②_5,6,0),""))))),IF($C$22=1,VLOOKUP(項目順ﾃﾞｰﾀｴﾘｱ!Q17,パターン抽出②w_1,6,0),IF($C$22=2,VLOOKUP(項目順ﾃﾞｰﾀｴﾘｱ!Q17,パターン抽出②w_2,6,0),IF($C$22=3,VLOOKUP(項目順ﾃﾞｰﾀｴﾘｱ!Q17,パターン抽出②w_3,6,0),IF($C$22=4,VLOOKUP(項目順ﾃﾞｰﾀｴﾘｱ!Q17,パターン抽出②w_4,6,0),IF($C$22=5,VLOOKUP(項目順ﾃﾞｰﾀｴﾘｱ!Q17,パターン抽出②w_5,6,0),"")))))))</f>
        <v/>
      </c>
    </row>
    <row r="19" spans="1:12" ht="16.899999999999999" customHeight="1" x14ac:dyDescent="0.15">
      <c r="B19" s="12"/>
      <c r="D19" s="14">
        <f t="shared" si="1"/>
        <v>45214</v>
      </c>
      <c r="E19" s="37"/>
      <c r="G19" s="11">
        <v>15</v>
      </c>
      <c r="H19" s="15" t="str">
        <f t="shared" si="0"/>
        <v>日</v>
      </c>
      <c r="I19" s="38"/>
      <c r="J19" s="25" t="str">
        <f>IF(項目順ﾃﾞｰﾀｴﾘｱ!O18="","",IF($C$18="",IF($C$22=1,VLOOKUP(項目順ﾃﾞｰﾀｴﾘｱ!O18,パターン抽出②_1,6,0),IF($C$22=2,VLOOKUP(項目順ﾃﾞｰﾀｴﾘｱ!O18,パターン抽出②_2,6,0),IF($C$22=3,VLOOKUP(項目順ﾃﾞｰﾀｴﾘｱ!O18,パターン抽出②_3,6,0),IF($C$22=4,VLOOKUP(項目順ﾃﾞｰﾀｴﾘｱ!O18,パターン抽出②_4,6,0),IF($C$22=5,VLOOKUP(項目順ﾃﾞｰﾀｴﾘｱ!O18,パターン抽出②_5,6,0),""))))),IF($C$22=1,VLOOKUP(項目順ﾃﾞｰﾀｴﾘｱ!O18,パターン抽出②w_1,6,0),IF($C$22=2,VLOOKUP(項目順ﾃﾞｰﾀｴﾘｱ!O18,パターン抽出②w_2,6,0),IF($C$22=3,VLOOKUP(項目順ﾃﾞｰﾀｴﾘｱ!O18,パターン抽出②w_3,6,0),IF($C$22=4,VLOOKUP(項目順ﾃﾞｰﾀｴﾘｱ!O18,パターン抽出②w_4,6,0),IF($C$22=5,VLOOKUP(項目順ﾃﾞｰﾀｴﾘｱ!O18,パターン抽出②w_5,6,0),"")))))))</f>
        <v/>
      </c>
      <c r="K19" s="26" t="str">
        <f>IF(項目順ﾃﾞｰﾀｴﾘｱ!P18="","",IF($C$18="",IF($C$22=1,VLOOKUP(項目順ﾃﾞｰﾀｴﾘｱ!P18,パターン抽出②_1,6,0),IF($C$22=2,VLOOKUP(項目順ﾃﾞｰﾀｴﾘｱ!P18,パターン抽出②_2,6,0),IF($C$22=3,VLOOKUP(項目順ﾃﾞｰﾀｴﾘｱ!P18,パターン抽出②_3,6,0),IF($C$22=4,VLOOKUP(項目順ﾃﾞｰﾀｴﾘｱ!P18,パターン抽出②_4,6,0),IF($C$22=5,VLOOKUP(項目順ﾃﾞｰﾀｴﾘｱ!P18,パターン抽出②_5,6,0),""))))),IF($C$22=1,VLOOKUP(項目順ﾃﾞｰﾀｴﾘｱ!P18,パターン抽出②w_1,6,0),IF($C$22=2,VLOOKUP(項目順ﾃﾞｰﾀｴﾘｱ!P18,パターン抽出②w_2,6,0),IF($C$22=3,VLOOKUP(項目順ﾃﾞｰﾀｴﾘｱ!P18,パターン抽出②w_3,6,0),IF($C$22=4,VLOOKUP(項目順ﾃﾞｰﾀｴﾘｱ!P18,パターン抽出②w_4,6,0),IF($C$22=5,VLOOKUP(項目順ﾃﾞｰﾀｴﾘｱ!P18,パターン抽出②w_5,6,0),"")))))))</f>
        <v/>
      </c>
      <c r="L19" s="27" t="str">
        <f>IF(項目順ﾃﾞｰﾀｴﾘｱ!Q18="","",IF($C$18="",IF($C$22=1,VLOOKUP(項目順ﾃﾞｰﾀｴﾘｱ!Q18,パターン抽出②_1,6,0),IF($C$22=2,VLOOKUP(項目順ﾃﾞｰﾀｴﾘｱ!Q18,パターン抽出②_2,6,0),IF($C$22=3,VLOOKUP(項目順ﾃﾞｰﾀｴﾘｱ!Q18,パターン抽出②_3,6,0),IF($C$22=4,VLOOKUP(項目順ﾃﾞｰﾀｴﾘｱ!Q18,パターン抽出②_4,6,0),IF($C$22=5,VLOOKUP(項目順ﾃﾞｰﾀｴﾘｱ!Q18,パターン抽出②_5,6,0),""))))),IF($C$22=1,VLOOKUP(項目順ﾃﾞｰﾀｴﾘｱ!Q18,パターン抽出②w_1,6,0),IF($C$22=2,VLOOKUP(項目順ﾃﾞｰﾀｴﾘｱ!Q18,パターン抽出②w_2,6,0),IF($C$22=3,VLOOKUP(項目順ﾃﾞｰﾀｴﾘｱ!Q18,パターン抽出②w_3,6,0),IF($C$22=4,VLOOKUP(項目順ﾃﾞｰﾀｴﾘｱ!Q18,パターン抽出②w_4,6,0),IF($C$22=5,VLOOKUP(項目順ﾃﾞｰﾀｴﾘｱ!Q18,パターン抽出②w_5,6,0),"")))))))</f>
        <v/>
      </c>
    </row>
    <row r="20" spans="1:12" ht="16.899999999999999" customHeight="1" x14ac:dyDescent="0.15">
      <c r="A20" s="139" t="s">
        <v>61</v>
      </c>
      <c r="B20" s="139"/>
      <c r="C20" s="35"/>
      <c r="D20" s="14">
        <f t="shared" si="1"/>
        <v>45215</v>
      </c>
      <c r="E20" s="37"/>
      <c r="G20" s="11">
        <v>16</v>
      </c>
      <c r="H20" s="15" t="str">
        <f t="shared" si="0"/>
        <v>月</v>
      </c>
      <c r="I20" s="38"/>
      <c r="J20" s="25" t="str">
        <f>IF(項目順ﾃﾞｰﾀｴﾘｱ!O19="","",IF($C$18="",IF($C$22=1,VLOOKUP(項目順ﾃﾞｰﾀｴﾘｱ!O19,パターン抽出②_1,6,0),IF($C$22=2,VLOOKUP(項目順ﾃﾞｰﾀｴﾘｱ!O19,パターン抽出②_2,6,0),IF($C$22=3,VLOOKUP(項目順ﾃﾞｰﾀｴﾘｱ!O19,パターン抽出②_3,6,0),IF($C$22=4,VLOOKUP(項目順ﾃﾞｰﾀｴﾘｱ!O19,パターン抽出②_4,6,0),IF($C$22=5,VLOOKUP(項目順ﾃﾞｰﾀｴﾘｱ!O19,パターン抽出②_5,6,0),""))))),IF($C$22=1,VLOOKUP(項目順ﾃﾞｰﾀｴﾘｱ!O19,パターン抽出②w_1,6,0),IF($C$22=2,VLOOKUP(項目順ﾃﾞｰﾀｴﾘｱ!O19,パターン抽出②w_2,6,0),IF($C$22=3,VLOOKUP(項目順ﾃﾞｰﾀｴﾘｱ!O19,パターン抽出②w_3,6,0),IF($C$22=4,VLOOKUP(項目順ﾃﾞｰﾀｴﾘｱ!O19,パターン抽出②w_4,6,0),IF($C$22=5,VLOOKUP(項目順ﾃﾞｰﾀｴﾘｱ!O19,パターン抽出②w_5,6,0),"")))))))</f>
        <v/>
      </c>
      <c r="K20" s="26" t="str">
        <f>IF(項目順ﾃﾞｰﾀｴﾘｱ!P19="","",IF($C$18="",IF($C$22=1,VLOOKUP(項目順ﾃﾞｰﾀｴﾘｱ!P19,パターン抽出②_1,6,0),IF($C$22=2,VLOOKUP(項目順ﾃﾞｰﾀｴﾘｱ!P19,パターン抽出②_2,6,0),IF($C$22=3,VLOOKUP(項目順ﾃﾞｰﾀｴﾘｱ!P19,パターン抽出②_3,6,0),IF($C$22=4,VLOOKUP(項目順ﾃﾞｰﾀｴﾘｱ!P19,パターン抽出②_4,6,0),IF($C$22=5,VLOOKUP(項目順ﾃﾞｰﾀｴﾘｱ!P19,パターン抽出②_5,6,0),""))))),IF($C$22=1,VLOOKUP(項目順ﾃﾞｰﾀｴﾘｱ!P19,パターン抽出②w_1,6,0),IF($C$22=2,VLOOKUP(項目順ﾃﾞｰﾀｴﾘｱ!P19,パターン抽出②w_2,6,0),IF($C$22=3,VLOOKUP(項目順ﾃﾞｰﾀｴﾘｱ!P19,パターン抽出②w_3,6,0),IF($C$22=4,VLOOKUP(項目順ﾃﾞｰﾀｴﾘｱ!P19,パターン抽出②w_4,6,0),IF($C$22=5,VLOOKUP(項目順ﾃﾞｰﾀｴﾘｱ!P19,パターン抽出②w_5,6,0),"")))))))</f>
        <v/>
      </c>
      <c r="L20" s="27" t="str">
        <f>IF(項目順ﾃﾞｰﾀｴﾘｱ!Q19="","",IF($C$18="",IF($C$22=1,VLOOKUP(項目順ﾃﾞｰﾀｴﾘｱ!Q19,パターン抽出②_1,6,0),IF($C$22=2,VLOOKUP(項目順ﾃﾞｰﾀｴﾘｱ!Q19,パターン抽出②_2,6,0),IF($C$22=3,VLOOKUP(項目順ﾃﾞｰﾀｴﾘｱ!Q19,パターン抽出②_3,6,0),IF($C$22=4,VLOOKUP(項目順ﾃﾞｰﾀｴﾘｱ!Q19,パターン抽出②_4,6,0),IF($C$22=5,VLOOKUP(項目順ﾃﾞｰﾀｴﾘｱ!Q19,パターン抽出②_5,6,0),""))))),IF($C$22=1,VLOOKUP(項目順ﾃﾞｰﾀｴﾘｱ!Q19,パターン抽出②w_1,6,0),IF($C$22=2,VLOOKUP(項目順ﾃﾞｰﾀｴﾘｱ!Q19,パターン抽出②w_2,6,0),IF($C$22=3,VLOOKUP(項目順ﾃﾞｰﾀｴﾘｱ!Q19,パターン抽出②w_3,6,0),IF($C$22=4,VLOOKUP(項目順ﾃﾞｰﾀｴﾘｱ!Q19,パターン抽出②w_4,6,0),IF($C$22=5,VLOOKUP(項目順ﾃﾞｰﾀｴﾘｱ!Q19,パターン抽出②w_5,6,0),"")))))))</f>
        <v/>
      </c>
    </row>
    <row r="21" spans="1:12" ht="16.899999999999999" customHeight="1" x14ac:dyDescent="0.15">
      <c r="D21" s="14">
        <f t="shared" si="1"/>
        <v>45216</v>
      </c>
      <c r="E21" s="37"/>
      <c r="G21" s="11">
        <v>17</v>
      </c>
      <c r="H21" s="15" t="str">
        <f t="shared" si="0"/>
        <v>火</v>
      </c>
      <c r="I21" s="38"/>
      <c r="J21" s="25" t="str">
        <f>IF(項目順ﾃﾞｰﾀｴﾘｱ!O20="","",IF($C$18="",IF($C$22=1,VLOOKUP(項目順ﾃﾞｰﾀｴﾘｱ!O20,パターン抽出②_1,6,0),IF($C$22=2,VLOOKUP(項目順ﾃﾞｰﾀｴﾘｱ!O20,パターン抽出②_2,6,0),IF($C$22=3,VLOOKUP(項目順ﾃﾞｰﾀｴﾘｱ!O20,パターン抽出②_3,6,0),IF($C$22=4,VLOOKUP(項目順ﾃﾞｰﾀｴﾘｱ!O20,パターン抽出②_4,6,0),IF($C$22=5,VLOOKUP(項目順ﾃﾞｰﾀｴﾘｱ!O20,パターン抽出②_5,6,0),""))))),IF($C$22=1,VLOOKUP(項目順ﾃﾞｰﾀｴﾘｱ!O20,パターン抽出②w_1,6,0),IF($C$22=2,VLOOKUP(項目順ﾃﾞｰﾀｴﾘｱ!O20,パターン抽出②w_2,6,0),IF($C$22=3,VLOOKUP(項目順ﾃﾞｰﾀｴﾘｱ!O20,パターン抽出②w_3,6,0),IF($C$22=4,VLOOKUP(項目順ﾃﾞｰﾀｴﾘｱ!O20,パターン抽出②w_4,6,0),IF($C$22=5,VLOOKUP(項目順ﾃﾞｰﾀｴﾘｱ!O20,パターン抽出②w_5,6,0),"")))))))</f>
        <v/>
      </c>
      <c r="K21" s="26" t="str">
        <f>IF(項目順ﾃﾞｰﾀｴﾘｱ!P20="","",IF($C$18="",IF($C$22=1,VLOOKUP(項目順ﾃﾞｰﾀｴﾘｱ!P20,パターン抽出②_1,6,0),IF($C$22=2,VLOOKUP(項目順ﾃﾞｰﾀｴﾘｱ!P20,パターン抽出②_2,6,0),IF($C$22=3,VLOOKUP(項目順ﾃﾞｰﾀｴﾘｱ!P20,パターン抽出②_3,6,0),IF($C$22=4,VLOOKUP(項目順ﾃﾞｰﾀｴﾘｱ!P20,パターン抽出②_4,6,0),IF($C$22=5,VLOOKUP(項目順ﾃﾞｰﾀｴﾘｱ!P20,パターン抽出②_5,6,0),""))))),IF($C$22=1,VLOOKUP(項目順ﾃﾞｰﾀｴﾘｱ!P20,パターン抽出②w_1,6,0),IF($C$22=2,VLOOKUP(項目順ﾃﾞｰﾀｴﾘｱ!P20,パターン抽出②w_2,6,0),IF($C$22=3,VLOOKUP(項目順ﾃﾞｰﾀｴﾘｱ!P20,パターン抽出②w_3,6,0),IF($C$22=4,VLOOKUP(項目順ﾃﾞｰﾀｴﾘｱ!P20,パターン抽出②w_4,6,0),IF($C$22=5,VLOOKUP(項目順ﾃﾞｰﾀｴﾘｱ!P20,パターン抽出②w_5,6,0),"")))))))</f>
        <v/>
      </c>
      <c r="L21" s="27" t="str">
        <f>IF(項目順ﾃﾞｰﾀｴﾘｱ!Q20="","",IF($C$18="",IF($C$22=1,VLOOKUP(項目順ﾃﾞｰﾀｴﾘｱ!Q20,パターン抽出②_1,6,0),IF($C$22=2,VLOOKUP(項目順ﾃﾞｰﾀｴﾘｱ!Q20,パターン抽出②_2,6,0),IF($C$22=3,VLOOKUP(項目順ﾃﾞｰﾀｴﾘｱ!Q20,パターン抽出②_3,6,0),IF($C$22=4,VLOOKUP(項目順ﾃﾞｰﾀｴﾘｱ!Q20,パターン抽出②_4,6,0),IF($C$22=5,VLOOKUP(項目順ﾃﾞｰﾀｴﾘｱ!Q20,パターン抽出②_5,6,0),""))))),IF($C$22=1,VLOOKUP(項目順ﾃﾞｰﾀｴﾘｱ!Q20,パターン抽出②w_1,6,0),IF($C$22=2,VLOOKUP(項目順ﾃﾞｰﾀｴﾘｱ!Q20,パターン抽出②w_2,6,0),IF($C$22=3,VLOOKUP(項目順ﾃﾞｰﾀｴﾘｱ!Q20,パターン抽出②w_3,6,0),IF($C$22=4,VLOOKUP(項目順ﾃﾞｰﾀｴﾘｱ!Q20,パターン抽出②w_4,6,0),IF($C$22=5,VLOOKUP(項目順ﾃﾞｰﾀｴﾘｱ!Q20,パターン抽出②w_5,6,0),"")))))))</f>
        <v/>
      </c>
    </row>
    <row r="22" spans="1:12" ht="16.899999999999999" customHeight="1" x14ac:dyDescent="0.15">
      <c r="A22" s="139" t="s">
        <v>62</v>
      </c>
      <c r="B22" s="139"/>
      <c r="C22" s="36"/>
      <c r="D22" s="14">
        <f t="shared" si="1"/>
        <v>45217</v>
      </c>
      <c r="E22" s="37"/>
      <c r="G22" s="11">
        <v>18</v>
      </c>
      <c r="H22" s="15" t="str">
        <f t="shared" si="0"/>
        <v>水</v>
      </c>
      <c r="I22" s="38"/>
      <c r="J22" s="25" t="str">
        <f>IF(項目順ﾃﾞｰﾀｴﾘｱ!O21="","",IF($C$18="",IF($C$22=1,VLOOKUP(項目順ﾃﾞｰﾀｴﾘｱ!O21,パターン抽出②_1,6,0),IF($C$22=2,VLOOKUP(項目順ﾃﾞｰﾀｴﾘｱ!O21,パターン抽出②_2,6,0),IF($C$22=3,VLOOKUP(項目順ﾃﾞｰﾀｴﾘｱ!O21,パターン抽出②_3,6,0),IF($C$22=4,VLOOKUP(項目順ﾃﾞｰﾀｴﾘｱ!O21,パターン抽出②_4,6,0),IF($C$22=5,VLOOKUP(項目順ﾃﾞｰﾀｴﾘｱ!O21,パターン抽出②_5,6,0),""))))),IF($C$22=1,VLOOKUP(項目順ﾃﾞｰﾀｴﾘｱ!O21,パターン抽出②w_1,6,0),IF($C$22=2,VLOOKUP(項目順ﾃﾞｰﾀｴﾘｱ!O21,パターン抽出②w_2,6,0),IF($C$22=3,VLOOKUP(項目順ﾃﾞｰﾀｴﾘｱ!O21,パターン抽出②w_3,6,0),IF($C$22=4,VLOOKUP(項目順ﾃﾞｰﾀｴﾘｱ!O21,パターン抽出②w_4,6,0),IF($C$22=5,VLOOKUP(項目順ﾃﾞｰﾀｴﾘｱ!O21,パターン抽出②w_5,6,0),"")))))))</f>
        <v/>
      </c>
      <c r="K22" s="26" t="str">
        <f>IF(項目順ﾃﾞｰﾀｴﾘｱ!P21="","",IF($C$18="",IF($C$22=1,VLOOKUP(項目順ﾃﾞｰﾀｴﾘｱ!P21,パターン抽出②_1,6,0),IF($C$22=2,VLOOKUP(項目順ﾃﾞｰﾀｴﾘｱ!P21,パターン抽出②_2,6,0),IF($C$22=3,VLOOKUP(項目順ﾃﾞｰﾀｴﾘｱ!P21,パターン抽出②_3,6,0),IF($C$22=4,VLOOKUP(項目順ﾃﾞｰﾀｴﾘｱ!P21,パターン抽出②_4,6,0),IF($C$22=5,VLOOKUP(項目順ﾃﾞｰﾀｴﾘｱ!P21,パターン抽出②_5,6,0),""))))),IF($C$22=1,VLOOKUP(項目順ﾃﾞｰﾀｴﾘｱ!P21,パターン抽出②w_1,6,0),IF($C$22=2,VLOOKUP(項目順ﾃﾞｰﾀｴﾘｱ!P21,パターン抽出②w_2,6,0),IF($C$22=3,VLOOKUP(項目順ﾃﾞｰﾀｴﾘｱ!P21,パターン抽出②w_3,6,0),IF($C$22=4,VLOOKUP(項目順ﾃﾞｰﾀｴﾘｱ!P21,パターン抽出②w_4,6,0),IF($C$22=5,VLOOKUP(項目順ﾃﾞｰﾀｴﾘｱ!P21,パターン抽出②w_5,6,0),"")))))))</f>
        <v/>
      </c>
      <c r="L22" s="27" t="str">
        <f>IF(項目順ﾃﾞｰﾀｴﾘｱ!Q21="","",IF($C$18="",IF($C$22=1,VLOOKUP(項目順ﾃﾞｰﾀｴﾘｱ!Q21,パターン抽出②_1,6,0),IF($C$22=2,VLOOKUP(項目順ﾃﾞｰﾀｴﾘｱ!Q21,パターン抽出②_2,6,0),IF($C$22=3,VLOOKUP(項目順ﾃﾞｰﾀｴﾘｱ!Q21,パターン抽出②_3,6,0),IF($C$22=4,VLOOKUP(項目順ﾃﾞｰﾀｴﾘｱ!Q21,パターン抽出②_4,6,0),IF($C$22=5,VLOOKUP(項目順ﾃﾞｰﾀｴﾘｱ!Q21,パターン抽出②_5,6,0),""))))),IF($C$22=1,VLOOKUP(項目順ﾃﾞｰﾀｴﾘｱ!Q21,パターン抽出②w_1,6,0),IF($C$22=2,VLOOKUP(項目順ﾃﾞｰﾀｴﾘｱ!Q21,パターン抽出②w_2,6,0),IF($C$22=3,VLOOKUP(項目順ﾃﾞｰﾀｴﾘｱ!Q21,パターン抽出②w_3,6,0),IF($C$22=4,VLOOKUP(項目順ﾃﾞｰﾀｴﾘｱ!Q21,パターン抽出②w_4,6,0),IF($C$22=5,VLOOKUP(項目順ﾃﾞｰﾀｴﾘｱ!Q21,パターン抽出②w_5,6,0),"")))))))</f>
        <v/>
      </c>
    </row>
    <row r="23" spans="1:12" ht="16.899999999999999" customHeight="1" x14ac:dyDescent="0.15">
      <c r="A23" s="128"/>
      <c r="B23" s="128"/>
      <c r="C23" s="128"/>
      <c r="D23" s="14">
        <f t="shared" si="1"/>
        <v>45218</v>
      </c>
      <c r="E23" s="37"/>
      <c r="G23" s="11">
        <v>19</v>
      </c>
      <c r="H23" s="15" t="str">
        <f t="shared" si="0"/>
        <v>木</v>
      </c>
      <c r="I23" s="38"/>
      <c r="J23" s="25" t="str">
        <f>IF(項目順ﾃﾞｰﾀｴﾘｱ!O22="","",IF($C$18="",IF($C$22=1,VLOOKUP(項目順ﾃﾞｰﾀｴﾘｱ!O22,パターン抽出②_1,6,0),IF($C$22=2,VLOOKUP(項目順ﾃﾞｰﾀｴﾘｱ!O22,パターン抽出②_2,6,0),IF($C$22=3,VLOOKUP(項目順ﾃﾞｰﾀｴﾘｱ!O22,パターン抽出②_3,6,0),IF($C$22=4,VLOOKUP(項目順ﾃﾞｰﾀｴﾘｱ!O22,パターン抽出②_4,6,0),IF($C$22=5,VLOOKUP(項目順ﾃﾞｰﾀｴﾘｱ!O22,パターン抽出②_5,6,0),""))))),IF($C$22=1,VLOOKUP(項目順ﾃﾞｰﾀｴﾘｱ!O22,パターン抽出②w_1,6,0),IF($C$22=2,VLOOKUP(項目順ﾃﾞｰﾀｴﾘｱ!O22,パターン抽出②w_2,6,0),IF($C$22=3,VLOOKUP(項目順ﾃﾞｰﾀｴﾘｱ!O22,パターン抽出②w_3,6,0),IF($C$22=4,VLOOKUP(項目順ﾃﾞｰﾀｴﾘｱ!O22,パターン抽出②w_4,6,0),IF($C$22=5,VLOOKUP(項目順ﾃﾞｰﾀｴﾘｱ!O22,パターン抽出②w_5,6,0),"")))))))</f>
        <v/>
      </c>
      <c r="K23" s="26" t="str">
        <f>IF(項目順ﾃﾞｰﾀｴﾘｱ!P22="","",IF($C$18="",IF($C$22=1,VLOOKUP(項目順ﾃﾞｰﾀｴﾘｱ!P22,パターン抽出②_1,6,0),IF($C$22=2,VLOOKUP(項目順ﾃﾞｰﾀｴﾘｱ!P22,パターン抽出②_2,6,0),IF($C$22=3,VLOOKUP(項目順ﾃﾞｰﾀｴﾘｱ!P22,パターン抽出②_3,6,0),IF($C$22=4,VLOOKUP(項目順ﾃﾞｰﾀｴﾘｱ!P22,パターン抽出②_4,6,0),IF($C$22=5,VLOOKUP(項目順ﾃﾞｰﾀｴﾘｱ!P22,パターン抽出②_5,6,0),""))))),IF($C$22=1,VLOOKUP(項目順ﾃﾞｰﾀｴﾘｱ!P22,パターン抽出②w_1,6,0),IF($C$22=2,VLOOKUP(項目順ﾃﾞｰﾀｴﾘｱ!P22,パターン抽出②w_2,6,0),IF($C$22=3,VLOOKUP(項目順ﾃﾞｰﾀｴﾘｱ!P22,パターン抽出②w_3,6,0),IF($C$22=4,VLOOKUP(項目順ﾃﾞｰﾀｴﾘｱ!P22,パターン抽出②w_4,6,0),IF($C$22=5,VLOOKUP(項目順ﾃﾞｰﾀｴﾘｱ!P22,パターン抽出②w_5,6,0),"")))))))</f>
        <v/>
      </c>
      <c r="L23" s="27" t="str">
        <f>IF(項目順ﾃﾞｰﾀｴﾘｱ!Q22="","",IF($C$18="",IF($C$22=1,VLOOKUP(項目順ﾃﾞｰﾀｴﾘｱ!Q22,パターン抽出②_1,6,0),IF($C$22=2,VLOOKUP(項目順ﾃﾞｰﾀｴﾘｱ!Q22,パターン抽出②_2,6,0),IF($C$22=3,VLOOKUP(項目順ﾃﾞｰﾀｴﾘｱ!Q22,パターン抽出②_3,6,0),IF($C$22=4,VLOOKUP(項目順ﾃﾞｰﾀｴﾘｱ!Q22,パターン抽出②_4,6,0),IF($C$22=5,VLOOKUP(項目順ﾃﾞｰﾀｴﾘｱ!Q22,パターン抽出②_5,6,0),""))))),IF($C$22=1,VLOOKUP(項目順ﾃﾞｰﾀｴﾘｱ!Q22,パターン抽出②w_1,6,0),IF($C$22=2,VLOOKUP(項目順ﾃﾞｰﾀｴﾘｱ!Q22,パターン抽出②w_2,6,0),IF($C$22=3,VLOOKUP(項目順ﾃﾞｰﾀｴﾘｱ!Q22,パターン抽出②w_3,6,0),IF($C$22=4,VLOOKUP(項目順ﾃﾞｰﾀｴﾘｱ!Q22,パターン抽出②w_4,6,0),IF($C$22=5,VLOOKUP(項目順ﾃﾞｰﾀｴﾘｱ!Q22,パターン抽出②w_5,6,0),"")))))))</f>
        <v/>
      </c>
    </row>
    <row r="24" spans="1:12" ht="16.899999999999999" customHeight="1" x14ac:dyDescent="0.15">
      <c r="A24" s="139" t="s">
        <v>74</v>
      </c>
      <c r="B24" s="139"/>
      <c r="C24" s="72"/>
      <c r="D24" s="14">
        <f t="shared" si="1"/>
        <v>45219</v>
      </c>
      <c r="E24" s="37"/>
      <c r="G24" s="11">
        <v>20</v>
      </c>
      <c r="H24" s="15" t="str">
        <f t="shared" si="0"/>
        <v>金</v>
      </c>
      <c r="I24" s="38"/>
      <c r="J24" s="25" t="str">
        <f>IF(項目順ﾃﾞｰﾀｴﾘｱ!O23="","",IF($C$18="",IF($C$22=1,VLOOKUP(項目順ﾃﾞｰﾀｴﾘｱ!O23,パターン抽出②_1,6,0),IF($C$22=2,VLOOKUP(項目順ﾃﾞｰﾀｴﾘｱ!O23,パターン抽出②_2,6,0),IF($C$22=3,VLOOKUP(項目順ﾃﾞｰﾀｴﾘｱ!O23,パターン抽出②_3,6,0),IF($C$22=4,VLOOKUP(項目順ﾃﾞｰﾀｴﾘｱ!O23,パターン抽出②_4,6,0),IF($C$22=5,VLOOKUP(項目順ﾃﾞｰﾀｴﾘｱ!O23,パターン抽出②_5,6,0),""))))),IF($C$22=1,VLOOKUP(項目順ﾃﾞｰﾀｴﾘｱ!O23,パターン抽出②w_1,6,0),IF($C$22=2,VLOOKUP(項目順ﾃﾞｰﾀｴﾘｱ!O23,パターン抽出②w_2,6,0),IF($C$22=3,VLOOKUP(項目順ﾃﾞｰﾀｴﾘｱ!O23,パターン抽出②w_3,6,0),IF($C$22=4,VLOOKUP(項目順ﾃﾞｰﾀｴﾘｱ!O23,パターン抽出②w_4,6,0),IF($C$22=5,VLOOKUP(項目順ﾃﾞｰﾀｴﾘｱ!O23,パターン抽出②w_5,6,0),"")))))))</f>
        <v/>
      </c>
      <c r="K24" s="26" t="str">
        <f>IF(項目順ﾃﾞｰﾀｴﾘｱ!P23="","",IF($C$18="",IF($C$22=1,VLOOKUP(項目順ﾃﾞｰﾀｴﾘｱ!P23,パターン抽出②_1,6,0),IF($C$22=2,VLOOKUP(項目順ﾃﾞｰﾀｴﾘｱ!P23,パターン抽出②_2,6,0),IF($C$22=3,VLOOKUP(項目順ﾃﾞｰﾀｴﾘｱ!P23,パターン抽出②_3,6,0),IF($C$22=4,VLOOKUP(項目順ﾃﾞｰﾀｴﾘｱ!P23,パターン抽出②_4,6,0),IF($C$22=5,VLOOKUP(項目順ﾃﾞｰﾀｴﾘｱ!P23,パターン抽出②_5,6,0),""))))),IF($C$22=1,VLOOKUP(項目順ﾃﾞｰﾀｴﾘｱ!P23,パターン抽出②w_1,6,0),IF($C$22=2,VLOOKUP(項目順ﾃﾞｰﾀｴﾘｱ!P23,パターン抽出②w_2,6,0),IF($C$22=3,VLOOKUP(項目順ﾃﾞｰﾀｴﾘｱ!P23,パターン抽出②w_3,6,0),IF($C$22=4,VLOOKUP(項目順ﾃﾞｰﾀｴﾘｱ!P23,パターン抽出②w_4,6,0),IF($C$22=5,VLOOKUP(項目順ﾃﾞｰﾀｴﾘｱ!P23,パターン抽出②w_5,6,0),"")))))))</f>
        <v/>
      </c>
      <c r="L24" s="27" t="str">
        <f>IF(項目順ﾃﾞｰﾀｴﾘｱ!Q23="","",IF($C$18="",IF($C$22=1,VLOOKUP(項目順ﾃﾞｰﾀｴﾘｱ!Q23,パターン抽出②_1,6,0),IF($C$22=2,VLOOKUP(項目順ﾃﾞｰﾀｴﾘｱ!Q23,パターン抽出②_2,6,0),IF($C$22=3,VLOOKUP(項目順ﾃﾞｰﾀｴﾘｱ!Q23,パターン抽出②_3,6,0),IF($C$22=4,VLOOKUP(項目順ﾃﾞｰﾀｴﾘｱ!Q23,パターン抽出②_4,6,0),IF($C$22=5,VLOOKUP(項目順ﾃﾞｰﾀｴﾘｱ!Q23,パターン抽出②_5,6,0),""))))),IF($C$22=1,VLOOKUP(項目順ﾃﾞｰﾀｴﾘｱ!Q23,パターン抽出②w_1,6,0),IF($C$22=2,VLOOKUP(項目順ﾃﾞｰﾀｴﾘｱ!Q23,パターン抽出②w_2,6,0),IF($C$22=3,VLOOKUP(項目順ﾃﾞｰﾀｴﾘｱ!Q23,パターン抽出②w_3,6,0),IF($C$22=4,VLOOKUP(項目順ﾃﾞｰﾀｴﾘｱ!Q23,パターン抽出②w_4,6,0),IF($C$22=5,VLOOKUP(項目順ﾃﾞｰﾀｴﾘｱ!Q23,パターン抽出②w_5,6,0),"")))))))</f>
        <v/>
      </c>
    </row>
    <row r="25" spans="1:12" ht="16.899999999999999" customHeight="1" x14ac:dyDescent="0.15">
      <c r="D25" s="14">
        <f t="shared" si="1"/>
        <v>45220</v>
      </c>
      <c r="E25" s="37"/>
      <c r="G25" s="11">
        <v>21</v>
      </c>
      <c r="H25" s="15" t="str">
        <f t="shared" si="0"/>
        <v>土</v>
      </c>
      <c r="I25" s="38"/>
      <c r="J25" s="25" t="str">
        <f>IF(項目順ﾃﾞｰﾀｴﾘｱ!O24="","",IF($C$18="",IF($C$22=1,VLOOKUP(項目順ﾃﾞｰﾀｴﾘｱ!O24,パターン抽出②_1,6,0),IF($C$22=2,VLOOKUP(項目順ﾃﾞｰﾀｴﾘｱ!O24,パターン抽出②_2,6,0),IF($C$22=3,VLOOKUP(項目順ﾃﾞｰﾀｴﾘｱ!O24,パターン抽出②_3,6,0),IF($C$22=4,VLOOKUP(項目順ﾃﾞｰﾀｴﾘｱ!O24,パターン抽出②_4,6,0),IF($C$22=5,VLOOKUP(項目順ﾃﾞｰﾀｴﾘｱ!O24,パターン抽出②_5,6,0),""))))),IF($C$22=1,VLOOKUP(項目順ﾃﾞｰﾀｴﾘｱ!O24,パターン抽出②w_1,6,0),IF($C$22=2,VLOOKUP(項目順ﾃﾞｰﾀｴﾘｱ!O24,パターン抽出②w_2,6,0),IF($C$22=3,VLOOKUP(項目順ﾃﾞｰﾀｴﾘｱ!O24,パターン抽出②w_3,6,0),IF($C$22=4,VLOOKUP(項目順ﾃﾞｰﾀｴﾘｱ!O24,パターン抽出②w_4,6,0),IF($C$22=5,VLOOKUP(項目順ﾃﾞｰﾀｴﾘｱ!O24,パターン抽出②w_5,6,0),"")))))))</f>
        <v/>
      </c>
      <c r="K25" s="26" t="str">
        <f>IF(項目順ﾃﾞｰﾀｴﾘｱ!P24="","",IF($C$18="",IF($C$22=1,VLOOKUP(項目順ﾃﾞｰﾀｴﾘｱ!P24,パターン抽出②_1,6,0),IF($C$22=2,VLOOKUP(項目順ﾃﾞｰﾀｴﾘｱ!P24,パターン抽出②_2,6,0),IF($C$22=3,VLOOKUP(項目順ﾃﾞｰﾀｴﾘｱ!P24,パターン抽出②_3,6,0),IF($C$22=4,VLOOKUP(項目順ﾃﾞｰﾀｴﾘｱ!P24,パターン抽出②_4,6,0),IF($C$22=5,VLOOKUP(項目順ﾃﾞｰﾀｴﾘｱ!P24,パターン抽出②_5,6,0),""))))),IF($C$22=1,VLOOKUP(項目順ﾃﾞｰﾀｴﾘｱ!P24,パターン抽出②w_1,6,0),IF($C$22=2,VLOOKUP(項目順ﾃﾞｰﾀｴﾘｱ!P24,パターン抽出②w_2,6,0),IF($C$22=3,VLOOKUP(項目順ﾃﾞｰﾀｴﾘｱ!P24,パターン抽出②w_3,6,0),IF($C$22=4,VLOOKUP(項目順ﾃﾞｰﾀｴﾘｱ!P24,パターン抽出②w_4,6,0),IF($C$22=5,VLOOKUP(項目順ﾃﾞｰﾀｴﾘｱ!P24,パターン抽出②w_5,6,0),"")))))))</f>
        <v/>
      </c>
      <c r="L25" s="27" t="str">
        <f>IF(項目順ﾃﾞｰﾀｴﾘｱ!Q24="","",IF($C$18="",IF($C$22=1,VLOOKUP(項目順ﾃﾞｰﾀｴﾘｱ!Q24,パターン抽出②_1,6,0),IF($C$22=2,VLOOKUP(項目順ﾃﾞｰﾀｴﾘｱ!Q24,パターン抽出②_2,6,0),IF($C$22=3,VLOOKUP(項目順ﾃﾞｰﾀｴﾘｱ!Q24,パターン抽出②_3,6,0),IF($C$22=4,VLOOKUP(項目順ﾃﾞｰﾀｴﾘｱ!Q24,パターン抽出②_4,6,0),IF($C$22=5,VLOOKUP(項目順ﾃﾞｰﾀｴﾘｱ!Q24,パターン抽出②_5,6,0),""))))),IF($C$22=1,VLOOKUP(項目順ﾃﾞｰﾀｴﾘｱ!Q24,パターン抽出②w_1,6,0),IF($C$22=2,VLOOKUP(項目順ﾃﾞｰﾀｴﾘｱ!Q24,パターン抽出②w_2,6,0),IF($C$22=3,VLOOKUP(項目順ﾃﾞｰﾀｴﾘｱ!Q24,パターン抽出②w_3,6,0),IF($C$22=4,VLOOKUP(項目順ﾃﾞｰﾀｴﾘｱ!Q24,パターン抽出②w_4,6,0),IF($C$22=5,VLOOKUP(項目順ﾃﾞｰﾀｴﾘｱ!Q24,パターン抽出②w_5,6,0),"")))))))</f>
        <v/>
      </c>
    </row>
    <row r="26" spans="1:12" ht="16.899999999999999" customHeight="1" x14ac:dyDescent="0.15">
      <c r="A26" s="144" t="s">
        <v>106</v>
      </c>
      <c r="B26" s="133"/>
      <c r="C26" s="116"/>
      <c r="D26" s="14">
        <f t="shared" si="1"/>
        <v>45221</v>
      </c>
      <c r="E26" s="37"/>
      <c r="G26" s="11">
        <v>22</v>
      </c>
      <c r="H26" s="15" t="str">
        <f t="shared" si="0"/>
        <v>日</v>
      </c>
      <c r="I26" s="38"/>
      <c r="J26" s="25" t="str">
        <f>IF(項目順ﾃﾞｰﾀｴﾘｱ!O25="","",IF($C$18="",IF($C$22=1,VLOOKUP(項目順ﾃﾞｰﾀｴﾘｱ!O25,パターン抽出②_1,6,0),IF($C$22=2,VLOOKUP(項目順ﾃﾞｰﾀｴﾘｱ!O25,パターン抽出②_2,6,0),IF($C$22=3,VLOOKUP(項目順ﾃﾞｰﾀｴﾘｱ!O25,パターン抽出②_3,6,0),IF($C$22=4,VLOOKUP(項目順ﾃﾞｰﾀｴﾘｱ!O25,パターン抽出②_4,6,0),IF($C$22=5,VLOOKUP(項目順ﾃﾞｰﾀｴﾘｱ!O25,パターン抽出②_5,6,0),""))))),IF($C$22=1,VLOOKUP(項目順ﾃﾞｰﾀｴﾘｱ!O25,パターン抽出②w_1,6,0),IF($C$22=2,VLOOKUP(項目順ﾃﾞｰﾀｴﾘｱ!O25,パターン抽出②w_2,6,0),IF($C$22=3,VLOOKUP(項目順ﾃﾞｰﾀｴﾘｱ!O25,パターン抽出②w_3,6,0),IF($C$22=4,VLOOKUP(項目順ﾃﾞｰﾀｴﾘｱ!O25,パターン抽出②w_4,6,0),IF($C$22=5,VLOOKUP(項目順ﾃﾞｰﾀｴﾘｱ!O25,パターン抽出②w_5,6,0),"")))))))</f>
        <v/>
      </c>
      <c r="K26" s="26" t="str">
        <f>IF(項目順ﾃﾞｰﾀｴﾘｱ!P25="","",IF($C$18="",IF($C$22=1,VLOOKUP(項目順ﾃﾞｰﾀｴﾘｱ!P25,パターン抽出②_1,6,0),IF($C$22=2,VLOOKUP(項目順ﾃﾞｰﾀｴﾘｱ!P25,パターン抽出②_2,6,0),IF($C$22=3,VLOOKUP(項目順ﾃﾞｰﾀｴﾘｱ!P25,パターン抽出②_3,6,0),IF($C$22=4,VLOOKUP(項目順ﾃﾞｰﾀｴﾘｱ!P25,パターン抽出②_4,6,0),IF($C$22=5,VLOOKUP(項目順ﾃﾞｰﾀｴﾘｱ!P25,パターン抽出②_5,6,0),""))))),IF($C$22=1,VLOOKUP(項目順ﾃﾞｰﾀｴﾘｱ!P25,パターン抽出②w_1,6,0),IF($C$22=2,VLOOKUP(項目順ﾃﾞｰﾀｴﾘｱ!P25,パターン抽出②w_2,6,0),IF($C$22=3,VLOOKUP(項目順ﾃﾞｰﾀｴﾘｱ!P25,パターン抽出②w_3,6,0),IF($C$22=4,VLOOKUP(項目順ﾃﾞｰﾀｴﾘｱ!P25,パターン抽出②w_4,6,0),IF($C$22=5,VLOOKUP(項目順ﾃﾞｰﾀｴﾘｱ!P25,パターン抽出②w_5,6,0),"")))))))</f>
        <v/>
      </c>
      <c r="L26" s="27" t="str">
        <f>IF(項目順ﾃﾞｰﾀｴﾘｱ!Q25="","",IF($C$18="",IF($C$22=1,VLOOKUP(項目順ﾃﾞｰﾀｴﾘｱ!Q25,パターン抽出②_1,6,0),IF($C$22=2,VLOOKUP(項目順ﾃﾞｰﾀｴﾘｱ!Q25,パターン抽出②_2,6,0),IF($C$22=3,VLOOKUP(項目順ﾃﾞｰﾀｴﾘｱ!Q25,パターン抽出②_3,6,0),IF($C$22=4,VLOOKUP(項目順ﾃﾞｰﾀｴﾘｱ!Q25,パターン抽出②_4,6,0),IF($C$22=5,VLOOKUP(項目順ﾃﾞｰﾀｴﾘｱ!Q25,パターン抽出②_5,6,0),""))))),IF($C$22=1,VLOOKUP(項目順ﾃﾞｰﾀｴﾘｱ!Q25,パターン抽出②w_1,6,0),IF($C$22=2,VLOOKUP(項目順ﾃﾞｰﾀｴﾘｱ!Q25,パターン抽出②w_2,6,0),IF($C$22=3,VLOOKUP(項目順ﾃﾞｰﾀｴﾘｱ!Q25,パターン抽出②w_3,6,0),IF($C$22=4,VLOOKUP(項目順ﾃﾞｰﾀｴﾘｱ!Q25,パターン抽出②w_4,6,0),IF($C$22=5,VLOOKUP(項目順ﾃﾞｰﾀｴﾘｱ!Q25,パターン抽出②w_5,6,0),"")))))))</f>
        <v/>
      </c>
    </row>
    <row r="27" spans="1:12" ht="16.899999999999999" customHeight="1" x14ac:dyDescent="0.15">
      <c r="A27" s="133" t="s">
        <v>107</v>
      </c>
      <c r="B27" s="133"/>
      <c r="C27" s="117"/>
      <c r="D27" s="14">
        <f t="shared" si="1"/>
        <v>45222</v>
      </c>
      <c r="E27" s="37"/>
      <c r="G27" s="11">
        <v>23</v>
      </c>
      <c r="H27" s="15" t="str">
        <f t="shared" si="0"/>
        <v>月</v>
      </c>
      <c r="I27" s="38"/>
      <c r="J27" s="25" t="str">
        <f>IF(項目順ﾃﾞｰﾀｴﾘｱ!O26="","",IF($C$18="",IF($C$22=1,VLOOKUP(項目順ﾃﾞｰﾀｴﾘｱ!O26,パターン抽出②_1,6,0),IF($C$22=2,VLOOKUP(項目順ﾃﾞｰﾀｴﾘｱ!O26,パターン抽出②_2,6,0),IF($C$22=3,VLOOKUP(項目順ﾃﾞｰﾀｴﾘｱ!O26,パターン抽出②_3,6,0),IF($C$22=4,VLOOKUP(項目順ﾃﾞｰﾀｴﾘｱ!O26,パターン抽出②_4,6,0),IF($C$22=5,VLOOKUP(項目順ﾃﾞｰﾀｴﾘｱ!O26,パターン抽出②_5,6,0),""))))),IF($C$22=1,VLOOKUP(項目順ﾃﾞｰﾀｴﾘｱ!O26,パターン抽出②w_1,6,0),IF($C$22=2,VLOOKUP(項目順ﾃﾞｰﾀｴﾘｱ!O26,パターン抽出②w_2,6,0),IF($C$22=3,VLOOKUP(項目順ﾃﾞｰﾀｴﾘｱ!O26,パターン抽出②w_3,6,0),IF($C$22=4,VLOOKUP(項目順ﾃﾞｰﾀｴﾘｱ!O26,パターン抽出②w_4,6,0),IF($C$22=5,VLOOKUP(項目順ﾃﾞｰﾀｴﾘｱ!O26,パターン抽出②w_5,6,0),"")))))))</f>
        <v/>
      </c>
      <c r="K27" s="26" t="str">
        <f>IF(項目順ﾃﾞｰﾀｴﾘｱ!P26="","",IF($C$18="",IF($C$22=1,VLOOKUP(項目順ﾃﾞｰﾀｴﾘｱ!P26,パターン抽出②_1,6,0),IF($C$22=2,VLOOKUP(項目順ﾃﾞｰﾀｴﾘｱ!P26,パターン抽出②_2,6,0),IF($C$22=3,VLOOKUP(項目順ﾃﾞｰﾀｴﾘｱ!P26,パターン抽出②_3,6,0),IF($C$22=4,VLOOKUP(項目順ﾃﾞｰﾀｴﾘｱ!P26,パターン抽出②_4,6,0),IF($C$22=5,VLOOKUP(項目順ﾃﾞｰﾀｴﾘｱ!P26,パターン抽出②_5,6,0),""))))),IF($C$22=1,VLOOKUP(項目順ﾃﾞｰﾀｴﾘｱ!P26,パターン抽出②w_1,6,0),IF($C$22=2,VLOOKUP(項目順ﾃﾞｰﾀｴﾘｱ!P26,パターン抽出②w_2,6,0),IF($C$22=3,VLOOKUP(項目順ﾃﾞｰﾀｴﾘｱ!P26,パターン抽出②w_3,6,0),IF($C$22=4,VLOOKUP(項目順ﾃﾞｰﾀｴﾘｱ!P26,パターン抽出②w_4,6,0),IF($C$22=5,VLOOKUP(項目順ﾃﾞｰﾀｴﾘｱ!P26,パターン抽出②w_5,6,0),"")))))))</f>
        <v/>
      </c>
      <c r="L27" s="27" t="str">
        <f>IF(項目順ﾃﾞｰﾀｴﾘｱ!Q26="","",IF($C$18="",IF($C$22=1,VLOOKUP(項目順ﾃﾞｰﾀｴﾘｱ!Q26,パターン抽出②_1,6,0),IF($C$22=2,VLOOKUP(項目順ﾃﾞｰﾀｴﾘｱ!Q26,パターン抽出②_2,6,0),IF($C$22=3,VLOOKUP(項目順ﾃﾞｰﾀｴﾘｱ!Q26,パターン抽出②_3,6,0),IF($C$22=4,VLOOKUP(項目順ﾃﾞｰﾀｴﾘｱ!Q26,パターン抽出②_4,6,0),IF($C$22=5,VLOOKUP(項目順ﾃﾞｰﾀｴﾘｱ!Q26,パターン抽出②_5,6,0),""))))),IF($C$22=1,VLOOKUP(項目順ﾃﾞｰﾀｴﾘｱ!Q26,パターン抽出②w_1,6,0),IF($C$22=2,VLOOKUP(項目順ﾃﾞｰﾀｴﾘｱ!Q26,パターン抽出②w_2,6,0),IF($C$22=3,VLOOKUP(項目順ﾃﾞｰﾀｴﾘｱ!Q26,パターン抽出②w_3,6,0),IF($C$22=4,VLOOKUP(項目順ﾃﾞｰﾀｴﾘｱ!Q26,パターン抽出②w_4,6,0),IF($C$22=5,VLOOKUP(項目順ﾃﾞｰﾀｴﾘｱ!Q26,パターン抽出②w_5,6,0),"")))))))</f>
        <v/>
      </c>
    </row>
    <row r="28" spans="1:12" ht="16.899999999999999" customHeight="1" x14ac:dyDescent="0.15">
      <c r="A28" s="133" t="s">
        <v>146</v>
      </c>
      <c r="B28" s="133"/>
      <c r="C28" s="117"/>
      <c r="D28" s="14">
        <f t="shared" si="1"/>
        <v>45223</v>
      </c>
      <c r="E28" s="37"/>
      <c r="G28" s="11">
        <v>24</v>
      </c>
      <c r="H28" s="15" t="str">
        <f t="shared" si="0"/>
        <v>火</v>
      </c>
      <c r="I28" s="38"/>
      <c r="J28" s="25" t="str">
        <f>IF(項目順ﾃﾞｰﾀｴﾘｱ!O27="","",IF($C$18="",IF($C$22=1,VLOOKUP(項目順ﾃﾞｰﾀｴﾘｱ!O27,パターン抽出②_1,6,0),IF($C$22=2,VLOOKUP(項目順ﾃﾞｰﾀｴﾘｱ!O27,パターン抽出②_2,6,0),IF($C$22=3,VLOOKUP(項目順ﾃﾞｰﾀｴﾘｱ!O27,パターン抽出②_3,6,0),IF($C$22=4,VLOOKUP(項目順ﾃﾞｰﾀｴﾘｱ!O27,パターン抽出②_4,6,0),IF($C$22=5,VLOOKUP(項目順ﾃﾞｰﾀｴﾘｱ!O27,パターン抽出②_5,6,0),""))))),IF($C$22=1,VLOOKUP(項目順ﾃﾞｰﾀｴﾘｱ!O27,パターン抽出②w_1,6,0),IF($C$22=2,VLOOKUP(項目順ﾃﾞｰﾀｴﾘｱ!O27,パターン抽出②w_2,6,0),IF($C$22=3,VLOOKUP(項目順ﾃﾞｰﾀｴﾘｱ!O27,パターン抽出②w_3,6,0),IF($C$22=4,VLOOKUP(項目順ﾃﾞｰﾀｴﾘｱ!O27,パターン抽出②w_4,6,0),IF($C$22=5,VLOOKUP(項目順ﾃﾞｰﾀｴﾘｱ!O27,パターン抽出②w_5,6,0),"")))))))</f>
        <v/>
      </c>
      <c r="K28" s="26" t="str">
        <f>IF(項目順ﾃﾞｰﾀｴﾘｱ!P27="","",IF($C$18="",IF($C$22=1,VLOOKUP(項目順ﾃﾞｰﾀｴﾘｱ!P27,パターン抽出②_1,6,0),IF($C$22=2,VLOOKUP(項目順ﾃﾞｰﾀｴﾘｱ!P27,パターン抽出②_2,6,0),IF($C$22=3,VLOOKUP(項目順ﾃﾞｰﾀｴﾘｱ!P27,パターン抽出②_3,6,0),IF($C$22=4,VLOOKUP(項目順ﾃﾞｰﾀｴﾘｱ!P27,パターン抽出②_4,6,0),IF($C$22=5,VLOOKUP(項目順ﾃﾞｰﾀｴﾘｱ!P27,パターン抽出②_5,6,0),""))))),IF($C$22=1,VLOOKUP(項目順ﾃﾞｰﾀｴﾘｱ!P27,パターン抽出②w_1,6,0),IF($C$22=2,VLOOKUP(項目順ﾃﾞｰﾀｴﾘｱ!P27,パターン抽出②w_2,6,0),IF($C$22=3,VLOOKUP(項目順ﾃﾞｰﾀｴﾘｱ!P27,パターン抽出②w_3,6,0),IF($C$22=4,VLOOKUP(項目順ﾃﾞｰﾀｴﾘｱ!P27,パターン抽出②w_4,6,0),IF($C$22=5,VLOOKUP(項目順ﾃﾞｰﾀｴﾘｱ!P27,パターン抽出②w_5,6,0),"")))))))</f>
        <v/>
      </c>
      <c r="L28" s="27" t="str">
        <f>IF(項目順ﾃﾞｰﾀｴﾘｱ!Q27="","",IF($C$18="",IF($C$22=1,VLOOKUP(項目順ﾃﾞｰﾀｴﾘｱ!Q27,パターン抽出②_1,6,0),IF($C$22=2,VLOOKUP(項目順ﾃﾞｰﾀｴﾘｱ!Q27,パターン抽出②_2,6,0),IF($C$22=3,VLOOKUP(項目順ﾃﾞｰﾀｴﾘｱ!Q27,パターン抽出②_3,6,0),IF($C$22=4,VLOOKUP(項目順ﾃﾞｰﾀｴﾘｱ!Q27,パターン抽出②_4,6,0),IF($C$22=5,VLOOKUP(項目順ﾃﾞｰﾀｴﾘｱ!Q27,パターン抽出②_5,6,0),""))))),IF($C$22=1,VLOOKUP(項目順ﾃﾞｰﾀｴﾘｱ!Q27,パターン抽出②w_1,6,0),IF($C$22=2,VLOOKUP(項目順ﾃﾞｰﾀｴﾘｱ!Q27,パターン抽出②w_2,6,0),IF($C$22=3,VLOOKUP(項目順ﾃﾞｰﾀｴﾘｱ!Q27,パターン抽出②w_3,6,0),IF($C$22=4,VLOOKUP(項目順ﾃﾞｰﾀｴﾘｱ!Q27,パターン抽出②w_4,6,0),IF($C$22=5,VLOOKUP(項目順ﾃﾞｰﾀｴﾘｱ!Q27,パターン抽出②w_5,6,0),"")))))))</f>
        <v/>
      </c>
    </row>
    <row r="29" spans="1:12" ht="16.899999999999999" customHeight="1" x14ac:dyDescent="0.15">
      <c r="A29" s="124"/>
      <c r="B29" s="124"/>
      <c r="C29" s="124"/>
      <c r="D29" s="14">
        <f t="shared" si="1"/>
        <v>45224</v>
      </c>
      <c r="E29" s="37"/>
      <c r="G29" s="11">
        <v>25</v>
      </c>
      <c r="H29" s="15" t="str">
        <f t="shared" si="0"/>
        <v>水</v>
      </c>
      <c r="I29" s="38"/>
      <c r="J29" s="25" t="str">
        <f>IF(項目順ﾃﾞｰﾀｴﾘｱ!O28="","",IF($C$18="",IF($C$22=1,VLOOKUP(項目順ﾃﾞｰﾀｴﾘｱ!O28,パターン抽出②_1,6,0),IF($C$22=2,VLOOKUP(項目順ﾃﾞｰﾀｴﾘｱ!O28,パターン抽出②_2,6,0),IF($C$22=3,VLOOKUP(項目順ﾃﾞｰﾀｴﾘｱ!O28,パターン抽出②_3,6,0),IF($C$22=4,VLOOKUP(項目順ﾃﾞｰﾀｴﾘｱ!O28,パターン抽出②_4,6,0),IF($C$22=5,VLOOKUP(項目順ﾃﾞｰﾀｴﾘｱ!O28,パターン抽出②_5,6,0),""))))),IF($C$22=1,VLOOKUP(項目順ﾃﾞｰﾀｴﾘｱ!O28,パターン抽出②w_1,6,0),IF($C$22=2,VLOOKUP(項目順ﾃﾞｰﾀｴﾘｱ!O28,パターン抽出②w_2,6,0),IF($C$22=3,VLOOKUP(項目順ﾃﾞｰﾀｴﾘｱ!O28,パターン抽出②w_3,6,0),IF($C$22=4,VLOOKUP(項目順ﾃﾞｰﾀｴﾘｱ!O28,パターン抽出②w_4,6,0),IF($C$22=5,VLOOKUP(項目順ﾃﾞｰﾀｴﾘｱ!O28,パターン抽出②w_5,6,0),"")))))))</f>
        <v/>
      </c>
      <c r="K29" s="26" t="str">
        <f>IF(項目順ﾃﾞｰﾀｴﾘｱ!P28="","",IF($C$18="",IF($C$22=1,VLOOKUP(項目順ﾃﾞｰﾀｴﾘｱ!P28,パターン抽出②_1,6,0),IF($C$22=2,VLOOKUP(項目順ﾃﾞｰﾀｴﾘｱ!P28,パターン抽出②_2,6,0),IF($C$22=3,VLOOKUP(項目順ﾃﾞｰﾀｴﾘｱ!P28,パターン抽出②_3,6,0),IF($C$22=4,VLOOKUP(項目順ﾃﾞｰﾀｴﾘｱ!P28,パターン抽出②_4,6,0),IF($C$22=5,VLOOKUP(項目順ﾃﾞｰﾀｴﾘｱ!P28,パターン抽出②_5,6,0),""))))),IF($C$22=1,VLOOKUP(項目順ﾃﾞｰﾀｴﾘｱ!P28,パターン抽出②w_1,6,0),IF($C$22=2,VLOOKUP(項目順ﾃﾞｰﾀｴﾘｱ!P28,パターン抽出②w_2,6,0),IF($C$22=3,VLOOKUP(項目順ﾃﾞｰﾀｴﾘｱ!P28,パターン抽出②w_3,6,0),IF($C$22=4,VLOOKUP(項目順ﾃﾞｰﾀｴﾘｱ!P28,パターン抽出②w_4,6,0),IF($C$22=5,VLOOKUP(項目順ﾃﾞｰﾀｴﾘｱ!P28,パターン抽出②w_5,6,0),"")))))))</f>
        <v/>
      </c>
      <c r="L29" s="27" t="str">
        <f>IF(項目順ﾃﾞｰﾀｴﾘｱ!Q28="","",IF($C$18="",IF($C$22=1,VLOOKUP(項目順ﾃﾞｰﾀｴﾘｱ!Q28,パターン抽出②_1,6,0),IF($C$22=2,VLOOKUP(項目順ﾃﾞｰﾀｴﾘｱ!Q28,パターン抽出②_2,6,0),IF($C$22=3,VLOOKUP(項目順ﾃﾞｰﾀｴﾘｱ!Q28,パターン抽出②_3,6,0),IF($C$22=4,VLOOKUP(項目順ﾃﾞｰﾀｴﾘｱ!Q28,パターン抽出②_4,6,0),IF($C$22=5,VLOOKUP(項目順ﾃﾞｰﾀｴﾘｱ!Q28,パターン抽出②_5,6,0),""))))),IF($C$22=1,VLOOKUP(項目順ﾃﾞｰﾀｴﾘｱ!Q28,パターン抽出②w_1,6,0),IF($C$22=2,VLOOKUP(項目順ﾃﾞｰﾀｴﾘｱ!Q28,パターン抽出②w_2,6,0),IF($C$22=3,VLOOKUP(項目順ﾃﾞｰﾀｴﾘｱ!Q28,パターン抽出②w_3,6,0),IF($C$22=4,VLOOKUP(項目順ﾃﾞｰﾀｴﾘｱ!Q28,パターン抽出②w_4,6,0),IF($C$22=5,VLOOKUP(項目順ﾃﾞｰﾀｴﾘｱ!Q28,パターン抽出②w_5,6,0),"")))))))</f>
        <v/>
      </c>
    </row>
    <row r="30" spans="1:12" ht="16.899999999999999" customHeight="1" x14ac:dyDescent="0.15">
      <c r="A30" s="144" t="s">
        <v>75</v>
      </c>
      <c r="B30" s="133"/>
      <c r="C30" s="73"/>
      <c r="D30" s="14">
        <f t="shared" si="1"/>
        <v>45225</v>
      </c>
      <c r="E30" s="37"/>
      <c r="G30" s="11">
        <v>26</v>
      </c>
      <c r="H30" s="15" t="str">
        <f t="shared" si="0"/>
        <v>木</v>
      </c>
      <c r="I30" s="38"/>
      <c r="J30" s="25" t="str">
        <f>IF(項目順ﾃﾞｰﾀｴﾘｱ!O29="","",IF($C$18="",IF($C$22=1,VLOOKUP(項目順ﾃﾞｰﾀｴﾘｱ!O29,パターン抽出②_1,6,0),IF($C$22=2,VLOOKUP(項目順ﾃﾞｰﾀｴﾘｱ!O29,パターン抽出②_2,6,0),IF($C$22=3,VLOOKUP(項目順ﾃﾞｰﾀｴﾘｱ!O29,パターン抽出②_3,6,0),IF($C$22=4,VLOOKUP(項目順ﾃﾞｰﾀｴﾘｱ!O29,パターン抽出②_4,6,0),IF($C$22=5,VLOOKUP(項目順ﾃﾞｰﾀｴﾘｱ!O29,パターン抽出②_5,6,0),""))))),IF($C$22=1,VLOOKUP(項目順ﾃﾞｰﾀｴﾘｱ!O29,パターン抽出②w_1,6,0),IF($C$22=2,VLOOKUP(項目順ﾃﾞｰﾀｴﾘｱ!O29,パターン抽出②w_2,6,0),IF($C$22=3,VLOOKUP(項目順ﾃﾞｰﾀｴﾘｱ!O29,パターン抽出②w_3,6,0),IF($C$22=4,VLOOKUP(項目順ﾃﾞｰﾀｴﾘｱ!O29,パターン抽出②w_4,6,0),IF($C$22=5,VLOOKUP(項目順ﾃﾞｰﾀｴﾘｱ!O29,パターン抽出②w_5,6,0),"")))))))</f>
        <v/>
      </c>
      <c r="K30" s="26" t="str">
        <f>IF(項目順ﾃﾞｰﾀｴﾘｱ!P29="","",IF($C$18="",IF($C$22=1,VLOOKUP(項目順ﾃﾞｰﾀｴﾘｱ!P29,パターン抽出②_1,6,0),IF($C$22=2,VLOOKUP(項目順ﾃﾞｰﾀｴﾘｱ!P29,パターン抽出②_2,6,0),IF($C$22=3,VLOOKUP(項目順ﾃﾞｰﾀｴﾘｱ!P29,パターン抽出②_3,6,0),IF($C$22=4,VLOOKUP(項目順ﾃﾞｰﾀｴﾘｱ!P29,パターン抽出②_4,6,0),IF($C$22=5,VLOOKUP(項目順ﾃﾞｰﾀｴﾘｱ!P29,パターン抽出②_5,6,0),""))))),IF($C$22=1,VLOOKUP(項目順ﾃﾞｰﾀｴﾘｱ!P29,パターン抽出②w_1,6,0),IF($C$22=2,VLOOKUP(項目順ﾃﾞｰﾀｴﾘｱ!P29,パターン抽出②w_2,6,0),IF($C$22=3,VLOOKUP(項目順ﾃﾞｰﾀｴﾘｱ!P29,パターン抽出②w_3,6,0),IF($C$22=4,VLOOKUP(項目順ﾃﾞｰﾀｴﾘｱ!P29,パターン抽出②w_4,6,0),IF($C$22=5,VLOOKUP(項目順ﾃﾞｰﾀｴﾘｱ!P29,パターン抽出②w_5,6,0),"")))))))</f>
        <v/>
      </c>
      <c r="L30" s="27" t="str">
        <f>IF(項目順ﾃﾞｰﾀｴﾘｱ!Q29="","",IF($C$18="",IF($C$22=1,VLOOKUP(項目順ﾃﾞｰﾀｴﾘｱ!Q29,パターン抽出②_1,6,0),IF($C$22=2,VLOOKUP(項目順ﾃﾞｰﾀｴﾘｱ!Q29,パターン抽出②_2,6,0),IF($C$22=3,VLOOKUP(項目順ﾃﾞｰﾀｴﾘｱ!Q29,パターン抽出②_3,6,0),IF($C$22=4,VLOOKUP(項目順ﾃﾞｰﾀｴﾘｱ!Q29,パターン抽出②_4,6,0),IF($C$22=5,VLOOKUP(項目順ﾃﾞｰﾀｴﾘｱ!Q29,パターン抽出②_5,6,0),""))))),IF($C$22=1,VLOOKUP(項目順ﾃﾞｰﾀｴﾘｱ!Q29,パターン抽出②w_1,6,0),IF($C$22=2,VLOOKUP(項目順ﾃﾞｰﾀｴﾘｱ!Q29,パターン抽出②w_2,6,0),IF($C$22=3,VLOOKUP(項目順ﾃﾞｰﾀｴﾘｱ!Q29,パターン抽出②w_3,6,0),IF($C$22=4,VLOOKUP(項目順ﾃﾞｰﾀｴﾘｱ!Q29,パターン抽出②w_4,6,0),IF($C$22=5,VLOOKUP(項目順ﾃﾞｰﾀｴﾘｱ!Q29,パターン抽出②w_5,6,0),"")))))))</f>
        <v/>
      </c>
    </row>
    <row r="31" spans="1:12" ht="16.899999999999999" customHeight="1" x14ac:dyDescent="0.15">
      <c r="A31" s="123"/>
      <c r="B31" s="124"/>
      <c r="C31" s="124"/>
      <c r="D31" s="14">
        <f t="shared" si="1"/>
        <v>45226</v>
      </c>
      <c r="E31" s="37"/>
      <c r="G31" s="11">
        <v>27</v>
      </c>
      <c r="H31" s="15" t="str">
        <f t="shared" si="0"/>
        <v>金</v>
      </c>
      <c r="I31" s="38"/>
      <c r="J31" s="25" t="str">
        <f>IF(項目順ﾃﾞｰﾀｴﾘｱ!O30="","",IF($C$18="",IF($C$22=1,VLOOKUP(項目順ﾃﾞｰﾀｴﾘｱ!O30,パターン抽出②_1,6,0),IF($C$22=2,VLOOKUP(項目順ﾃﾞｰﾀｴﾘｱ!O30,パターン抽出②_2,6,0),IF($C$22=3,VLOOKUP(項目順ﾃﾞｰﾀｴﾘｱ!O30,パターン抽出②_3,6,0),IF($C$22=4,VLOOKUP(項目順ﾃﾞｰﾀｴﾘｱ!O30,パターン抽出②_4,6,0),IF($C$22=5,VLOOKUP(項目順ﾃﾞｰﾀｴﾘｱ!O30,パターン抽出②_5,6,0),""))))),IF($C$22=1,VLOOKUP(項目順ﾃﾞｰﾀｴﾘｱ!O30,パターン抽出②w_1,6,0),IF($C$22=2,VLOOKUP(項目順ﾃﾞｰﾀｴﾘｱ!O30,パターン抽出②w_2,6,0),IF($C$22=3,VLOOKUP(項目順ﾃﾞｰﾀｴﾘｱ!O30,パターン抽出②w_3,6,0),IF($C$22=4,VLOOKUP(項目順ﾃﾞｰﾀｴﾘｱ!O30,パターン抽出②w_4,6,0),IF($C$22=5,VLOOKUP(項目順ﾃﾞｰﾀｴﾘｱ!O30,パターン抽出②w_5,6,0),"")))))))</f>
        <v/>
      </c>
      <c r="K31" s="26" t="str">
        <f>IF(項目順ﾃﾞｰﾀｴﾘｱ!P30="","",IF($C$18="",IF($C$22=1,VLOOKUP(項目順ﾃﾞｰﾀｴﾘｱ!P30,パターン抽出②_1,6,0),IF($C$22=2,VLOOKUP(項目順ﾃﾞｰﾀｴﾘｱ!P30,パターン抽出②_2,6,0),IF($C$22=3,VLOOKUP(項目順ﾃﾞｰﾀｴﾘｱ!P30,パターン抽出②_3,6,0),IF($C$22=4,VLOOKUP(項目順ﾃﾞｰﾀｴﾘｱ!P30,パターン抽出②_4,6,0),IF($C$22=5,VLOOKUP(項目順ﾃﾞｰﾀｴﾘｱ!P30,パターン抽出②_5,6,0),""))))),IF($C$22=1,VLOOKUP(項目順ﾃﾞｰﾀｴﾘｱ!P30,パターン抽出②w_1,6,0),IF($C$22=2,VLOOKUP(項目順ﾃﾞｰﾀｴﾘｱ!P30,パターン抽出②w_2,6,0),IF($C$22=3,VLOOKUP(項目順ﾃﾞｰﾀｴﾘｱ!P30,パターン抽出②w_3,6,0),IF($C$22=4,VLOOKUP(項目順ﾃﾞｰﾀｴﾘｱ!P30,パターン抽出②w_4,6,0),IF($C$22=5,VLOOKUP(項目順ﾃﾞｰﾀｴﾘｱ!P30,パターン抽出②w_5,6,0),"")))))))</f>
        <v/>
      </c>
      <c r="L31" s="27" t="str">
        <f>IF(項目順ﾃﾞｰﾀｴﾘｱ!Q30="","",IF($C$18="",IF($C$22=1,VLOOKUP(項目順ﾃﾞｰﾀｴﾘｱ!Q30,パターン抽出②_1,6,0),IF($C$22=2,VLOOKUP(項目順ﾃﾞｰﾀｴﾘｱ!Q30,パターン抽出②_2,6,0),IF($C$22=3,VLOOKUP(項目順ﾃﾞｰﾀｴﾘｱ!Q30,パターン抽出②_3,6,0),IF($C$22=4,VLOOKUP(項目順ﾃﾞｰﾀｴﾘｱ!Q30,パターン抽出②_4,6,0),IF($C$22=5,VLOOKUP(項目順ﾃﾞｰﾀｴﾘｱ!Q30,パターン抽出②_5,6,0),""))))),IF($C$22=1,VLOOKUP(項目順ﾃﾞｰﾀｴﾘｱ!Q30,パターン抽出②w_1,6,0),IF($C$22=2,VLOOKUP(項目順ﾃﾞｰﾀｴﾘｱ!Q30,パターン抽出②w_2,6,0),IF($C$22=3,VLOOKUP(項目順ﾃﾞｰﾀｴﾘｱ!Q30,パターン抽出②w_3,6,0),IF($C$22=4,VLOOKUP(項目順ﾃﾞｰﾀｴﾘｱ!Q30,パターン抽出②w_4,6,0),IF($C$22=5,VLOOKUP(項目順ﾃﾞｰﾀｴﾘｱ!Q30,パターン抽出②w_5,6,0),"")))))))</f>
        <v/>
      </c>
    </row>
    <row r="32" spans="1:12" ht="16.899999999999999" customHeight="1" x14ac:dyDescent="0.15">
      <c r="A32" s="133" t="s">
        <v>76</v>
      </c>
      <c r="B32" s="133"/>
      <c r="C32" s="73"/>
      <c r="D32" s="14">
        <f t="shared" si="1"/>
        <v>45227</v>
      </c>
      <c r="E32" s="37"/>
      <c r="G32" s="11">
        <v>28</v>
      </c>
      <c r="H32" s="15" t="str">
        <f t="shared" si="0"/>
        <v>土</v>
      </c>
      <c r="I32" s="38"/>
      <c r="J32" s="25" t="str">
        <f>IF(項目順ﾃﾞｰﾀｴﾘｱ!O31="","",IF($C$18="",IF($C$22=1,VLOOKUP(項目順ﾃﾞｰﾀｴﾘｱ!O31,パターン抽出②_1,6,0),IF($C$22=2,VLOOKUP(項目順ﾃﾞｰﾀｴﾘｱ!O31,パターン抽出②_2,6,0),IF($C$22=3,VLOOKUP(項目順ﾃﾞｰﾀｴﾘｱ!O31,パターン抽出②_3,6,0),IF($C$22=4,VLOOKUP(項目順ﾃﾞｰﾀｴﾘｱ!O31,パターン抽出②_4,6,0),IF($C$22=5,VLOOKUP(項目順ﾃﾞｰﾀｴﾘｱ!O31,パターン抽出②_5,6,0),""))))),IF($C$22=1,VLOOKUP(項目順ﾃﾞｰﾀｴﾘｱ!O31,パターン抽出②w_1,6,0),IF($C$22=2,VLOOKUP(項目順ﾃﾞｰﾀｴﾘｱ!O31,パターン抽出②w_2,6,0),IF($C$22=3,VLOOKUP(項目順ﾃﾞｰﾀｴﾘｱ!O31,パターン抽出②w_3,6,0),IF($C$22=4,VLOOKUP(項目順ﾃﾞｰﾀｴﾘｱ!O31,パターン抽出②w_4,6,0),IF($C$22=5,VLOOKUP(項目順ﾃﾞｰﾀｴﾘｱ!O31,パターン抽出②w_5,6,0),"")))))))</f>
        <v/>
      </c>
      <c r="K32" s="26" t="str">
        <f>IF(項目順ﾃﾞｰﾀｴﾘｱ!P31="","",IF($C$18="",IF($C$22=1,VLOOKUP(項目順ﾃﾞｰﾀｴﾘｱ!P31,パターン抽出②_1,6,0),IF($C$22=2,VLOOKUP(項目順ﾃﾞｰﾀｴﾘｱ!P31,パターン抽出②_2,6,0),IF($C$22=3,VLOOKUP(項目順ﾃﾞｰﾀｴﾘｱ!P31,パターン抽出②_3,6,0),IF($C$22=4,VLOOKUP(項目順ﾃﾞｰﾀｴﾘｱ!P31,パターン抽出②_4,6,0),IF($C$22=5,VLOOKUP(項目順ﾃﾞｰﾀｴﾘｱ!P31,パターン抽出②_5,6,0),""))))),IF($C$22=1,VLOOKUP(項目順ﾃﾞｰﾀｴﾘｱ!P31,パターン抽出②w_1,6,0),IF($C$22=2,VLOOKUP(項目順ﾃﾞｰﾀｴﾘｱ!P31,パターン抽出②w_2,6,0),IF($C$22=3,VLOOKUP(項目順ﾃﾞｰﾀｴﾘｱ!P31,パターン抽出②w_3,6,0),IF($C$22=4,VLOOKUP(項目順ﾃﾞｰﾀｴﾘｱ!P31,パターン抽出②w_4,6,0),IF($C$22=5,VLOOKUP(項目順ﾃﾞｰﾀｴﾘｱ!P31,パターン抽出②w_5,6,0),"")))))))</f>
        <v/>
      </c>
      <c r="L32" s="27" t="str">
        <f>IF(項目順ﾃﾞｰﾀｴﾘｱ!Q31="","",IF($C$18="",IF($C$22=1,VLOOKUP(項目順ﾃﾞｰﾀｴﾘｱ!Q31,パターン抽出②_1,6,0),IF($C$22=2,VLOOKUP(項目順ﾃﾞｰﾀｴﾘｱ!Q31,パターン抽出②_2,6,0),IF($C$22=3,VLOOKUP(項目順ﾃﾞｰﾀｴﾘｱ!Q31,パターン抽出②_3,6,0),IF($C$22=4,VLOOKUP(項目順ﾃﾞｰﾀｴﾘｱ!Q31,パターン抽出②_4,6,0),IF($C$22=5,VLOOKUP(項目順ﾃﾞｰﾀｴﾘｱ!Q31,パターン抽出②_5,6,0),""))))),IF($C$22=1,VLOOKUP(項目順ﾃﾞｰﾀｴﾘｱ!Q31,パターン抽出②w_1,6,0),IF($C$22=2,VLOOKUP(項目順ﾃﾞｰﾀｴﾘｱ!Q31,パターン抽出②w_2,6,0),IF($C$22=3,VLOOKUP(項目順ﾃﾞｰﾀｴﾘｱ!Q31,パターン抽出②w_3,6,0),IF($C$22=4,VLOOKUP(項目順ﾃﾞｰﾀｴﾘｱ!Q31,パターン抽出②w_4,6,0),IF($C$22=5,VLOOKUP(項目順ﾃﾞｰﾀｴﾘｱ!Q31,パターン抽出②w_5,6,0),"")))))))</f>
        <v/>
      </c>
    </row>
    <row r="33" spans="1:12" ht="16.899999999999999" customHeight="1" x14ac:dyDescent="0.15">
      <c r="D33" s="14">
        <f t="shared" si="1"/>
        <v>45228</v>
      </c>
      <c r="E33" s="37"/>
      <c r="G33" s="11">
        <f>IF(B7=2,IF(INT(B5/4)=(B5/4),29,""),29)</f>
        <v>29</v>
      </c>
      <c r="H33" s="15" t="str">
        <f t="shared" si="0"/>
        <v>日</v>
      </c>
      <c r="I33" s="38"/>
      <c r="J33" s="25" t="str">
        <f>IF(項目順ﾃﾞｰﾀｴﾘｱ!O32="","",IF($C$18="",IF($C$22=1,VLOOKUP(項目順ﾃﾞｰﾀｴﾘｱ!O32,パターン抽出②_1,6,0),IF($C$22=2,VLOOKUP(項目順ﾃﾞｰﾀｴﾘｱ!O32,パターン抽出②_2,6,0),IF($C$22=3,VLOOKUP(項目順ﾃﾞｰﾀｴﾘｱ!O32,パターン抽出②_3,6,0),IF($C$22=4,VLOOKUP(項目順ﾃﾞｰﾀｴﾘｱ!O32,パターン抽出②_4,6,0),IF($C$22=5,VLOOKUP(項目順ﾃﾞｰﾀｴﾘｱ!O32,パターン抽出②_5,6,0),""))))),IF($C$22=1,VLOOKUP(項目順ﾃﾞｰﾀｴﾘｱ!O32,パターン抽出②w_1,6,0),IF($C$22=2,VLOOKUP(項目順ﾃﾞｰﾀｴﾘｱ!O32,パターン抽出②w_2,6,0),IF($C$22=3,VLOOKUP(項目順ﾃﾞｰﾀｴﾘｱ!O32,パターン抽出②w_3,6,0),IF($C$22=4,VLOOKUP(項目順ﾃﾞｰﾀｴﾘｱ!O32,パターン抽出②w_4,6,0),IF($C$22=5,VLOOKUP(項目順ﾃﾞｰﾀｴﾘｱ!O32,パターン抽出②w_5,6,0),"")))))))</f>
        <v/>
      </c>
      <c r="K33" s="26" t="str">
        <f>IF(項目順ﾃﾞｰﾀｴﾘｱ!P32="","",IF($C$18="",IF($C$22=1,VLOOKUP(項目順ﾃﾞｰﾀｴﾘｱ!P32,パターン抽出②_1,6,0),IF($C$22=2,VLOOKUP(項目順ﾃﾞｰﾀｴﾘｱ!P32,パターン抽出②_2,6,0),IF($C$22=3,VLOOKUP(項目順ﾃﾞｰﾀｴﾘｱ!P32,パターン抽出②_3,6,0),IF($C$22=4,VLOOKUP(項目順ﾃﾞｰﾀｴﾘｱ!P32,パターン抽出②_4,6,0),IF($C$22=5,VLOOKUP(項目順ﾃﾞｰﾀｴﾘｱ!P32,パターン抽出②_5,6,0),""))))),IF($C$22=1,VLOOKUP(項目順ﾃﾞｰﾀｴﾘｱ!P32,パターン抽出②w_1,6,0),IF($C$22=2,VLOOKUP(項目順ﾃﾞｰﾀｴﾘｱ!P32,パターン抽出②w_2,6,0),IF($C$22=3,VLOOKUP(項目順ﾃﾞｰﾀｴﾘｱ!P32,パターン抽出②w_3,6,0),IF($C$22=4,VLOOKUP(項目順ﾃﾞｰﾀｴﾘｱ!P32,パターン抽出②w_4,6,0),IF($C$22=5,VLOOKUP(項目順ﾃﾞｰﾀｴﾘｱ!P32,パターン抽出②w_5,6,0),"")))))))</f>
        <v/>
      </c>
      <c r="L33" s="27" t="str">
        <f>IF(項目順ﾃﾞｰﾀｴﾘｱ!Q32="","",IF($C$18="",IF($C$22=1,VLOOKUP(項目順ﾃﾞｰﾀｴﾘｱ!Q32,パターン抽出②_1,6,0),IF($C$22=2,VLOOKUP(項目順ﾃﾞｰﾀｴﾘｱ!Q32,パターン抽出②_2,6,0),IF($C$22=3,VLOOKUP(項目順ﾃﾞｰﾀｴﾘｱ!Q32,パターン抽出②_3,6,0),IF($C$22=4,VLOOKUP(項目順ﾃﾞｰﾀｴﾘｱ!Q32,パターン抽出②_4,6,0),IF($C$22=5,VLOOKUP(項目順ﾃﾞｰﾀｴﾘｱ!Q32,パターン抽出②_5,6,0),""))))),IF($C$22=1,VLOOKUP(項目順ﾃﾞｰﾀｴﾘｱ!Q32,パターン抽出②w_1,6,0),IF($C$22=2,VLOOKUP(項目順ﾃﾞｰﾀｴﾘｱ!Q32,パターン抽出②w_2,6,0),IF($C$22=3,VLOOKUP(項目順ﾃﾞｰﾀｴﾘｱ!Q32,パターン抽出②w_3,6,0),IF($C$22=4,VLOOKUP(項目順ﾃﾞｰﾀｴﾘｱ!Q32,パターン抽出②w_4,6,0),IF($C$22=5,VLOOKUP(項目順ﾃﾞｰﾀｴﾘｱ!Q32,パターン抽出②w_5,6,0),"")))))))</f>
        <v/>
      </c>
    </row>
    <row r="34" spans="1:12" ht="16.899999999999999" customHeight="1" x14ac:dyDescent="0.15">
      <c r="A34" s="134"/>
      <c r="B34" s="134"/>
      <c r="C34" s="134"/>
      <c r="D34" s="14">
        <f t="shared" si="1"/>
        <v>45229</v>
      </c>
      <c r="E34" s="37"/>
      <c r="G34" s="11">
        <f>IF(B7=2,"",30)</f>
        <v>30</v>
      </c>
      <c r="H34" s="15" t="str">
        <f t="shared" si="0"/>
        <v>月</v>
      </c>
      <c r="I34" s="38"/>
      <c r="J34" s="25" t="str">
        <f>IF(項目順ﾃﾞｰﾀｴﾘｱ!O33="","",IF($C$18="",IF($C$22=1,VLOOKUP(項目順ﾃﾞｰﾀｴﾘｱ!O33,パターン抽出②_1,6,0),IF($C$22=2,VLOOKUP(項目順ﾃﾞｰﾀｴﾘｱ!O33,パターン抽出②_2,6,0),IF($C$22=3,VLOOKUP(項目順ﾃﾞｰﾀｴﾘｱ!O33,パターン抽出②_3,6,0),IF($C$22=4,VLOOKUP(項目順ﾃﾞｰﾀｴﾘｱ!O33,パターン抽出②_4,6,0),IF($C$22=5,VLOOKUP(項目順ﾃﾞｰﾀｴﾘｱ!O33,パターン抽出②_5,6,0),""))))),IF($C$22=1,VLOOKUP(項目順ﾃﾞｰﾀｴﾘｱ!O33,パターン抽出②w_1,6,0),IF($C$22=2,VLOOKUP(項目順ﾃﾞｰﾀｴﾘｱ!O33,パターン抽出②w_2,6,0),IF($C$22=3,VLOOKUP(項目順ﾃﾞｰﾀｴﾘｱ!O33,パターン抽出②w_3,6,0),IF($C$22=4,VLOOKUP(項目順ﾃﾞｰﾀｴﾘｱ!O33,パターン抽出②w_4,6,0),IF($C$22=5,VLOOKUP(項目順ﾃﾞｰﾀｴﾘｱ!O33,パターン抽出②w_5,6,0),"")))))))</f>
        <v/>
      </c>
      <c r="K34" s="26" t="str">
        <f>IF(項目順ﾃﾞｰﾀｴﾘｱ!P33="","",IF($C$18="",IF($C$22=1,VLOOKUP(項目順ﾃﾞｰﾀｴﾘｱ!P33,パターン抽出②_1,6,0),IF($C$22=2,VLOOKUP(項目順ﾃﾞｰﾀｴﾘｱ!P33,パターン抽出②_2,6,0),IF($C$22=3,VLOOKUP(項目順ﾃﾞｰﾀｴﾘｱ!P33,パターン抽出②_3,6,0),IF($C$22=4,VLOOKUP(項目順ﾃﾞｰﾀｴﾘｱ!P33,パターン抽出②_4,6,0),IF($C$22=5,VLOOKUP(項目順ﾃﾞｰﾀｴﾘｱ!P33,パターン抽出②_5,6,0),""))))),IF($C$22=1,VLOOKUP(項目順ﾃﾞｰﾀｴﾘｱ!P33,パターン抽出②w_1,6,0),IF($C$22=2,VLOOKUP(項目順ﾃﾞｰﾀｴﾘｱ!P33,パターン抽出②w_2,6,0),IF($C$22=3,VLOOKUP(項目順ﾃﾞｰﾀｴﾘｱ!P33,パターン抽出②w_3,6,0),IF($C$22=4,VLOOKUP(項目順ﾃﾞｰﾀｴﾘｱ!P33,パターン抽出②w_4,6,0),IF($C$22=5,VLOOKUP(項目順ﾃﾞｰﾀｴﾘｱ!P33,パターン抽出②w_5,6,0),"")))))))</f>
        <v/>
      </c>
      <c r="L34" s="27" t="str">
        <f>IF(項目順ﾃﾞｰﾀｴﾘｱ!Q33="","",IF($C$18="",IF($C$22=1,VLOOKUP(項目順ﾃﾞｰﾀｴﾘｱ!Q33,パターン抽出②_1,6,0),IF($C$22=2,VLOOKUP(項目順ﾃﾞｰﾀｴﾘｱ!Q33,パターン抽出②_2,6,0),IF($C$22=3,VLOOKUP(項目順ﾃﾞｰﾀｴﾘｱ!Q33,パターン抽出②_3,6,0),IF($C$22=4,VLOOKUP(項目順ﾃﾞｰﾀｴﾘｱ!Q33,パターン抽出②_4,6,0),IF($C$22=5,VLOOKUP(項目順ﾃﾞｰﾀｴﾘｱ!Q33,パターン抽出②_5,6,0),""))))),IF($C$22=1,VLOOKUP(項目順ﾃﾞｰﾀｴﾘｱ!Q33,パターン抽出②w_1,6,0),IF($C$22=2,VLOOKUP(項目順ﾃﾞｰﾀｴﾘｱ!Q33,パターン抽出②w_2,6,0),IF($C$22=3,VLOOKUP(項目順ﾃﾞｰﾀｴﾘｱ!Q33,パターン抽出②w_3,6,0),IF($C$22=4,VLOOKUP(項目順ﾃﾞｰﾀｴﾘｱ!Q33,パターン抽出②w_4,6,0),IF($C$22=5,VLOOKUP(項目順ﾃﾞｰﾀｴﾘｱ!Q33,パターン抽出②w_5,6,0),"")))))))</f>
        <v/>
      </c>
    </row>
    <row r="35" spans="1:12" ht="16.899999999999999" customHeight="1" x14ac:dyDescent="0.15">
      <c r="A35" s="134"/>
      <c r="B35" s="134"/>
      <c r="C35" s="134"/>
      <c r="D35" s="14">
        <f t="shared" si="1"/>
        <v>45230</v>
      </c>
      <c r="E35" s="37"/>
      <c r="G35" s="11">
        <f>IF(OR(B7=2,B7=4,B7=6,B7=9,B7=11),"",31)</f>
        <v>31</v>
      </c>
      <c r="H35" s="15" t="str">
        <f t="shared" si="0"/>
        <v>火</v>
      </c>
      <c r="I35" s="38"/>
      <c r="J35" s="25" t="str">
        <f>IF(項目順ﾃﾞｰﾀｴﾘｱ!O34="","",IF($C$18="",IF($C$22=1,VLOOKUP(項目順ﾃﾞｰﾀｴﾘｱ!O34,パターン抽出②_1,6,0),IF($C$22=2,VLOOKUP(項目順ﾃﾞｰﾀｴﾘｱ!O34,パターン抽出②_2,6,0),IF($C$22=3,VLOOKUP(項目順ﾃﾞｰﾀｴﾘｱ!O34,パターン抽出②_3,6,0),IF($C$22=4,VLOOKUP(項目順ﾃﾞｰﾀｴﾘｱ!O34,パターン抽出②_4,6,0),IF($C$22=5,VLOOKUP(項目順ﾃﾞｰﾀｴﾘｱ!O34,パターン抽出②_5,6,0),""))))),IF($C$22=1,VLOOKUP(項目順ﾃﾞｰﾀｴﾘｱ!O34,パターン抽出②w_1,6,0),IF($C$22=2,VLOOKUP(項目順ﾃﾞｰﾀｴﾘｱ!O34,パターン抽出②w_2,6,0),IF($C$22=3,VLOOKUP(項目順ﾃﾞｰﾀｴﾘｱ!O34,パターン抽出②w_3,6,0),IF($C$22=4,VLOOKUP(項目順ﾃﾞｰﾀｴﾘｱ!O34,パターン抽出②w_4,6,0),IF($C$22=5,VLOOKUP(項目順ﾃﾞｰﾀｴﾘｱ!O34,パターン抽出②w_5,6,0),"")))))))</f>
        <v/>
      </c>
      <c r="K35" s="26" t="str">
        <f>IF(項目順ﾃﾞｰﾀｴﾘｱ!P34="","",IF($C$18="",IF($C$22=1,VLOOKUP(項目順ﾃﾞｰﾀｴﾘｱ!P34,パターン抽出②_1,6,0),IF($C$22=2,VLOOKUP(項目順ﾃﾞｰﾀｴﾘｱ!P34,パターン抽出②_2,6,0),IF($C$22=3,VLOOKUP(項目順ﾃﾞｰﾀｴﾘｱ!P34,パターン抽出②_3,6,0),IF($C$22=4,VLOOKUP(項目順ﾃﾞｰﾀｴﾘｱ!P34,パターン抽出②_4,6,0),IF($C$22=5,VLOOKUP(項目順ﾃﾞｰﾀｴﾘｱ!P34,パターン抽出②_5,6,0),""))))),IF($C$22=1,VLOOKUP(項目順ﾃﾞｰﾀｴﾘｱ!P34,パターン抽出②w_1,6,0),IF($C$22=2,VLOOKUP(項目順ﾃﾞｰﾀｴﾘｱ!P34,パターン抽出②w_2,6,0),IF($C$22=3,VLOOKUP(項目順ﾃﾞｰﾀｴﾘｱ!P34,パターン抽出②w_3,6,0),IF($C$22=4,VLOOKUP(項目順ﾃﾞｰﾀｴﾘｱ!P34,パターン抽出②w_4,6,0),IF($C$22=5,VLOOKUP(項目順ﾃﾞｰﾀｴﾘｱ!P34,パターン抽出②w_5,6,0),"")))))))</f>
        <v/>
      </c>
      <c r="L35" s="27" t="str">
        <f>IF(項目順ﾃﾞｰﾀｴﾘｱ!Q34="","",IF($C$18="",IF($C$22=1,VLOOKUP(項目順ﾃﾞｰﾀｴﾘｱ!Q34,パターン抽出②_1,6,0),IF($C$22=2,VLOOKUP(項目順ﾃﾞｰﾀｴﾘｱ!Q34,パターン抽出②_2,6,0),IF($C$22=3,VLOOKUP(項目順ﾃﾞｰﾀｴﾘｱ!Q34,パターン抽出②_3,6,0),IF($C$22=4,VLOOKUP(項目順ﾃﾞｰﾀｴﾘｱ!Q34,パターン抽出②_4,6,0),IF($C$22=5,VLOOKUP(項目順ﾃﾞｰﾀｴﾘｱ!Q34,パターン抽出②_5,6,0),""))))),IF($C$22=1,VLOOKUP(項目順ﾃﾞｰﾀｴﾘｱ!Q34,パターン抽出②w_1,6,0),IF($C$22=2,VLOOKUP(項目順ﾃﾞｰﾀｴﾘｱ!Q34,パターン抽出②w_2,6,0),IF($C$22=3,VLOOKUP(項目順ﾃﾞｰﾀｴﾘｱ!Q34,パターン抽出②w_3,6,0),IF($C$22=4,VLOOKUP(項目順ﾃﾞｰﾀｴﾘｱ!Q34,パターン抽出②w_4,6,0),IF($C$22=5,VLOOKUP(項目順ﾃﾞｰﾀｴﾘｱ!Q34,パターン抽出②w_5,6,0),"")))))))</f>
        <v/>
      </c>
    </row>
    <row r="36" spans="1:12" x14ac:dyDescent="0.15">
      <c r="D36" s="14">
        <f>DATE($B$5,$B$7,29)</f>
        <v>45228</v>
      </c>
    </row>
    <row r="37" spans="1:12" x14ac:dyDescent="0.15">
      <c r="D37" s="14">
        <f>DATE($B$5,$B$7,30)</f>
        <v>45229</v>
      </c>
    </row>
    <row r="38" spans="1:12" x14ac:dyDescent="0.15">
      <c r="D38" s="14">
        <f>DATE($B$5,$B$7,31)</f>
        <v>45230</v>
      </c>
    </row>
  </sheetData>
  <sheetProtection algorithmName="SHA-512" hashValue="tjCRCC49xUsrUYBM/dVclGl/tDlR0pyNeksLwgDWHo6Hk86BhQs5sz/cSIGs6hzmhzEKj4Tj5ndS0tE+UE1ovQ==" saltValue="gHl/QeHztrOA9q4yDoFIPQ==" spinCount="100000" sheet="1" objects="1" scenarios="1"/>
  <protectedRanges>
    <protectedRange sqref="B5 B7 C10:C14 C20 C22 E5:E35 I5:I35 C16:C18 C30 C24 C26:C28 C32" name="項目順編集可"/>
  </protectedRanges>
  <mergeCells count="18">
    <mergeCell ref="A26:B26"/>
    <mergeCell ref="A27:B27"/>
    <mergeCell ref="A18:B18"/>
    <mergeCell ref="A28:B28"/>
    <mergeCell ref="A34:C35"/>
    <mergeCell ref="I3:I4"/>
    <mergeCell ref="J3:L3"/>
    <mergeCell ref="A20:B20"/>
    <mergeCell ref="A1:D3"/>
    <mergeCell ref="A24:B24"/>
    <mergeCell ref="A16:B16"/>
    <mergeCell ref="A17:B17"/>
    <mergeCell ref="A22:B22"/>
    <mergeCell ref="G3:G4"/>
    <mergeCell ref="H3:H4"/>
    <mergeCell ref="A30:B30"/>
    <mergeCell ref="A32:B32"/>
    <mergeCell ref="A9:C9"/>
  </mergeCells>
  <phoneticPr fontId="1"/>
  <conditionalFormatting sqref="A9:C9">
    <cfRule type="expression" dxfId="20" priority="20">
      <formula>$C$24="○"</formula>
    </cfRule>
  </conditionalFormatting>
  <conditionalFormatting sqref="A10:C10 B11:C18 A16:C18 A20:C20 A22:C22">
    <cfRule type="expression" dxfId="19" priority="21">
      <formula>$C$24="○"</formula>
    </cfRule>
  </conditionalFormatting>
  <conditionalFormatting sqref="A26:C28 A29:B29 A30:C30 A31:B31 A32:C32">
    <cfRule type="expression" dxfId="18" priority="2">
      <formula>$C$24="○"</formula>
    </cfRule>
  </conditionalFormatting>
  <conditionalFormatting sqref="C10:C14">
    <cfRule type="expression" dxfId="17" priority="5">
      <formula>$A$11=100</formula>
    </cfRule>
    <cfRule type="duplicateValues" dxfId="16" priority="11"/>
  </conditionalFormatting>
  <conditionalFormatting sqref="C26:C28 C30 C32">
    <cfRule type="expression" dxfId="15" priority="1">
      <formula>$C$24="○"</formula>
    </cfRule>
    <cfRule type="expression" dxfId="14" priority="8">
      <formula>$C$24="○"</formula>
    </cfRule>
  </conditionalFormatting>
  <conditionalFormatting sqref="G5:G35">
    <cfRule type="expression" dxfId="13" priority="12">
      <formula>$H5="土"</formula>
    </cfRule>
    <cfRule type="expression" dxfId="12" priority="13">
      <formula>$H5="日"</formula>
    </cfRule>
  </conditionalFormatting>
  <conditionalFormatting sqref="H5:H35">
    <cfRule type="cellIs" dxfId="11" priority="14" operator="equal">
      <formula>"日"</formula>
    </cfRule>
    <cfRule type="cellIs" dxfId="10" priority="15" operator="equal">
      <formula>"土"</formula>
    </cfRule>
  </conditionalFormatting>
  <dataValidations xWindow="241" yWindow="439" count="10">
    <dataValidation type="whole" allowBlank="1" showInputMessage="1" showErrorMessage="1" sqref="B7" xr:uid="{00000000-0002-0000-0100-000000000000}">
      <formula1>1</formula1>
      <formula2>12</formula2>
    </dataValidation>
    <dataValidation type="list" allowBlank="1" showInputMessage="1" showErrorMessage="1" errorTitle="項目数" error="「１・２年の～」は1～20項目_x000a_ま★ナビは1～30項目です。" sqref="C20" xr:uid="{00000000-0002-0000-0100-000001000000}">
      <formula1>IF($E$1=1,ミニナビ項目数,IF(E1=2,Wナビ項目数,ナビ項目数))</formula1>
    </dataValidation>
    <dataValidation type="whole" allowBlank="1" showInputMessage="1" showErrorMessage="1" sqref="E5:E35" xr:uid="{00000000-0002-0000-0100-000002000000}">
      <formula1>0</formula1>
      <formula2>3</formula2>
    </dataValidation>
    <dataValidation type="list" allowBlank="1" showInputMessage="1" showErrorMessage="1" sqref="C10:C15" xr:uid="{00000000-0002-0000-0100-000003000000}">
      <formula1>"1,2,3,4,5"</formula1>
    </dataValidation>
    <dataValidation type="list" allowBlank="1" showInputMessage="1" showErrorMessage="1" promptTitle="継続使用" prompt="前月からの設定で継続して使用する場合には，「○」を選択してください。" sqref="C24" xr:uid="{00000000-0002-0000-0100-000004000000}">
      <formula1>"○"</formula1>
    </dataValidation>
    <dataValidation type="whole" allowBlank="1" showInputMessage="1" showErrorMessage="1" errorTitle="数値再設定" error="1～5の間で設定してください。" sqref="C22" xr:uid="{00000000-0002-0000-0100-000005000000}">
      <formula1>1</formula1>
      <formula2>5</formula2>
    </dataValidation>
    <dataValidation type="list" allowBlank="1" showInputMessage="1" showErrorMessage="1" sqref="C30" xr:uid="{00000000-0002-0000-0100-000006000000}">
      <formula1>$B$10:$B$14</formula1>
    </dataValidation>
    <dataValidation type="list" allowBlank="1" showInputMessage="1" showErrorMessage="1" errorTitle="数値再設定" error="1～30の間で設定してください。" sqref="C32" xr:uid="{00000000-0002-0000-0100-000007000000}">
      <formula1>IF($E$1=1,ミニナビ項目数,IF(E1=2,Wナビ項目数,ナビ項目数))</formula1>
    </dataValidation>
    <dataValidation type="list" allowBlank="1" showInputMessage="1" showErrorMessage="1" promptTitle="開始項目" prompt="開始する項目が_x000a_「1・2年の基礎ナビ」，_x000a_「1・2年のトレナビ」，_x000a_「1・2年のダブルナビ」の場合_x000a_「○」を選択してください。" sqref="C16:C18" xr:uid="{3447582F-AE47-4E8D-B4F9-07F89A9E2001}">
      <formula1>"○"</formula1>
    </dataValidation>
    <dataValidation type="list" allowBlank="1" showInputMessage="1" showErrorMessage="1" sqref="C26:C28" xr:uid="{184B6C20-E5AD-4258-8769-3DC6CAE13B87}">
      <formula1>"○"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theme="6" tint="0.39997558519241921"/>
  </sheetPr>
  <dimension ref="C1:R29"/>
  <sheetViews>
    <sheetView zoomScale="70" zoomScaleNormal="70" zoomScaleSheetLayoutView="70" workbookViewId="0">
      <selection activeCell="C1" sqref="C1:H1"/>
    </sheetView>
  </sheetViews>
  <sheetFormatPr defaultColWidth="8.875" defaultRowHeight="13.5" x14ac:dyDescent="0.15"/>
  <cols>
    <col min="1" max="2" width="8.875" style="17"/>
    <col min="3" max="3" width="7.125" style="17" customWidth="1"/>
    <col min="4" max="4" width="22.25" style="17" customWidth="1"/>
    <col min="5" max="5" width="7.125" style="17" customWidth="1"/>
    <col min="6" max="6" width="22.25" style="17" customWidth="1"/>
    <col min="7" max="7" width="7.125" style="17" customWidth="1"/>
    <col min="8" max="8" width="22.25" style="17" customWidth="1"/>
    <col min="9" max="9" width="7.125" style="17" customWidth="1"/>
    <col min="10" max="10" width="22.25" style="17" customWidth="1"/>
    <col min="11" max="11" width="7.125" style="17" customWidth="1"/>
    <col min="12" max="12" width="22.25" style="17" customWidth="1"/>
    <col min="13" max="13" width="7.125" style="17" customWidth="1"/>
    <col min="14" max="14" width="22.25" style="17" customWidth="1"/>
    <col min="15" max="15" width="7.125" style="17" customWidth="1"/>
    <col min="16" max="16" width="22.25" style="17" customWidth="1"/>
    <col min="17" max="16384" width="8.875" style="17"/>
  </cols>
  <sheetData>
    <row r="1" spans="3:18" ht="40.9" customHeight="1" x14ac:dyDescent="0.15">
      <c r="C1" s="145">
        <f>設定入力!D5</f>
        <v>45200</v>
      </c>
      <c r="D1" s="145"/>
      <c r="E1" s="145"/>
      <c r="F1" s="145"/>
      <c r="G1" s="145"/>
      <c r="H1" s="145"/>
      <c r="N1" s="46" t="s">
        <v>71</v>
      </c>
      <c r="O1" s="45"/>
      <c r="P1" s="45"/>
    </row>
    <row r="2" spans="3:18" ht="4.9000000000000004" customHeight="1" x14ac:dyDescent="0.15">
      <c r="C2" s="44"/>
      <c r="D2" s="44"/>
      <c r="E2" s="44"/>
      <c r="F2" s="30"/>
    </row>
    <row r="3" spans="3:18" ht="28.15" customHeight="1" x14ac:dyDescent="0.15">
      <c r="C3" s="150" t="s">
        <v>8</v>
      </c>
      <c r="D3" s="151"/>
      <c r="E3" s="150" t="s">
        <v>9</v>
      </c>
      <c r="F3" s="151"/>
      <c r="G3" s="150" t="s">
        <v>10</v>
      </c>
      <c r="H3" s="151"/>
      <c r="I3" s="150" t="s">
        <v>11</v>
      </c>
      <c r="J3" s="151"/>
      <c r="K3" s="150" t="s">
        <v>12</v>
      </c>
      <c r="L3" s="151"/>
      <c r="M3" s="152" t="s">
        <v>13</v>
      </c>
      <c r="N3" s="153"/>
      <c r="O3" s="154" t="s">
        <v>2</v>
      </c>
      <c r="P3" s="155"/>
    </row>
    <row r="4" spans="3:18" ht="28.15" customHeight="1" x14ac:dyDescent="0.15">
      <c r="C4" s="32">
        <f>IF(C28&lt;&gt;0,C28,IF(E28&lt;&gt;0,E28-1,IF(G28&lt;&gt;0,G28-2,IF(I28&lt;&gt;0,I28-3,IF(K28&lt;&gt;0,K28-4,IF(M28&lt;&gt;0,M28-5,O28-6))))))</f>
        <v>45194</v>
      </c>
      <c r="D4" s="110" t="str">
        <f>IF(DAY(C4)&gt;7,"",IF(VLOOKUP(DAY(C4),設定入力!$G$5:$I$35,3,0)="","",VLOOKUP(DAY(C4),設定入力!$G$5:$I$35,3,0)))</f>
        <v/>
      </c>
      <c r="E4" s="32">
        <f>IF(C28&lt;&gt;0,C28+1,IF(E28&lt;&gt;0,E28,IF(G28&lt;&gt;0,G28-1,IF(I28&lt;&gt;0,I28-2,IF(K28&lt;&gt;0,K28-3,IF(M28&lt;&gt;0,M28-4,O28-5))))))</f>
        <v>45195</v>
      </c>
      <c r="F4" s="110" t="str">
        <f>IF(DAY(E4)&gt;7,"",IF(VLOOKUP(DAY(E4),設定入力!$G$5:$I$35,3,0)="","",VLOOKUP(DAY(E4),設定入力!$G$5:$I$35,3,0)))</f>
        <v/>
      </c>
      <c r="G4" s="32">
        <f>IF(C28&lt;&gt;0,C28+2,IF(E28&lt;&gt;0,E28+1,IF(G28&lt;&gt;0,G28,IF(I28&lt;&gt;0,I28-1,IF(K28&lt;&gt;0,K28-2,IF(M28&lt;&gt;0,M28-3,O28-4))))))</f>
        <v>45196</v>
      </c>
      <c r="H4" s="110" t="str">
        <f>IF(DAY(G4)&gt;7,"",IF(VLOOKUP(DAY(G4),設定入力!$G$5:$I$35,3,0)="","",VLOOKUP(DAY(G4),設定入力!$G$5:$I$35,3,0)))</f>
        <v/>
      </c>
      <c r="I4" s="32">
        <f>IF(C28&lt;&gt;0,C28+3,IF(E28&lt;&gt;0,E28+2,IF(G28&lt;&gt;0,G28+1,IF(I28&lt;&gt;0,I28,IF(K28&lt;&gt;0,K28-1,IF(M28&lt;&gt;0,M28-2,O28-3))))))</f>
        <v>45197</v>
      </c>
      <c r="J4" s="110" t="str">
        <f>IF(DAY(I4)&gt;7,"",IF(VLOOKUP(DAY(I4),設定入力!$G$5:$I$35,3,0)="","",VLOOKUP(DAY(I4),設定入力!$G$5:$I$35,3,0)))</f>
        <v/>
      </c>
      <c r="K4" s="32">
        <f>IF(C28&lt;&gt;0,C28+4,IF(E28&lt;&gt;0,E28+3,IF(G28&lt;&gt;0,G28+2,IF(I28&lt;&gt;0,I28+1,IF(K28&lt;&gt;0,K28,IF(M28&lt;&gt;0,M28-1,O28-2))))))</f>
        <v>45198</v>
      </c>
      <c r="L4" s="110" t="str">
        <f>IF(DAY(K4)&gt;7,"",IF(VLOOKUP(DAY(K4),設定入力!$G$5:$I$35,3,0)="","",VLOOKUP(DAY(K4),設定入力!$G$5:$I$35,3,0)))</f>
        <v/>
      </c>
      <c r="M4" s="33">
        <f>IF(C28&lt;&gt;0,C28+5,IF(E28&lt;&gt;0,E28+4,IF(G28&lt;&gt;0,G28+3,IF(I28&lt;&gt;0,I28+2,IF(K28&lt;&gt;0,K28+1,IF(M28&lt;&gt;0,M28,O28-1))))))</f>
        <v>45199</v>
      </c>
      <c r="N4" s="110" t="str">
        <f>IF(DAY(M4)&gt;7,"",IF(VLOOKUP(DAY(M4),設定入力!$G$5:$I$35,3,0)="","",VLOOKUP(DAY(M4),設定入力!$G$5:$I$35,3,0)))</f>
        <v/>
      </c>
      <c r="O4" s="34">
        <f>IF(C28&lt;&gt;0,C28+6,IF(E28&lt;&gt;0,E28+5,IF(G28&lt;&gt;0,G28+4,IF(I28&lt;&gt;0,I28+3,IF(K28&lt;&gt;0,K28+2,IF(M28&lt;&gt;0,M28+1,O28))))))</f>
        <v>45200</v>
      </c>
      <c r="P4" s="111" t="str">
        <f>IF(DAY(O4)&gt;7,"",IF(VLOOKUP(DAY(O4),設定入力!$G$5:$I$35,3,0)="","",VLOOKUP(DAY(O4),設定入力!$G$5:$I$35,3,0)))</f>
        <v/>
      </c>
    </row>
    <row r="5" spans="3:18" ht="28.15" customHeight="1" x14ac:dyDescent="0.15">
      <c r="C5" s="146" t="str">
        <f>IF(C4&lt;$C$1,"",VLOOKUP(DAY(C4),設定入力!$G$5:$L$35,4,0))</f>
        <v/>
      </c>
      <c r="D5" s="147"/>
      <c r="E5" s="146" t="str">
        <f>IF(E4&lt;$C$1,"",VLOOKUP(DAY(E4),設定入力!$G$5:$L$35,4,0))</f>
        <v/>
      </c>
      <c r="F5" s="147"/>
      <c r="G5" s="146" t="str">
        <f>IF(G4&lt;$C$1,"",VLOOKUP(DAY(G4),設定入力!$G$5:$L$35,4,0))</f>
        <v/>
      </c>
      <c r="H5" s="147"/>
      <c r="I5" s="146" t="str">
        <f>IF(I4&lt;$C$1,"",VLOOKUP(DAY(I4),設定入力!$G$5:$L$35,4,0))</f>
        <v/>
      </c>
      <c r="J5" s="147"/>
      <c r="K5" s="146" t="str">
        <f>IF(K4&lt;$C$1,"",VLOOKUP(DAY(K4),設定入力!$G$5:$L$35,4,0))</f>
        <v/>
      </c>
      <c r="L5" s="147"/>
      <c r="M5" s="146" t="str">
        <f>IF(M4&lt;$C$1,"",VLOOKUP(DAY(M4),設定入力!$G$5:$L$35,4,0))</f>
        <v/>
      </c>
      <c r="N5" s="147"/>
      <c r="O5" s="146" t="str">
        <f>IF(O4&lt;$C$1,"",VLOOKUP(DAY(O4),設定入力!$G$5:$L$35,4,0))</f>
        <v/>
      </c>
      <c r="P5" s="147"/>
    </row>
    <row r="6" spans="3:18" ht="28.15" customHeight="1" x14ac:dyDescent="0.15">
      <c r="C6" s="146" t="str">
        <f>IF(C4&lt;$C$1,"",VLOOKUP(DAY(C4),設定入力!$G$5:$L$35,5,0))</f>
        <v/>
      </c>
      <c r="D6" s="147"/>
      <c r="E6" s="146" t="str">
        <f>IF(E4&lt;$C$1,"",VLOOKUP(DAY(E4),設定入力!$G$5:$L$35,5,0))</f>
        <v/>
      </c>
      <c r="F6" s="147"/>
      <c r="G6" s="146" t="str">
        <f>IF(G4&lt;$C$1,"",VLOOKUP(DAY(G4),設定入力!$G$5:$L$35,5,0))</f>
        <v/>
      </c>
      <c r="H6" s="147"/>
      <c r="I6" s="146" t="str">
        <f>IF(I4&lt;$C$1,"",VLOOKUP(DAY(I4),設定入力!$G$5:$L$35,5,0))</f>
        <v/>
      </c>
      <c r="J6" s="147"/>
      <c r="K6" s="146" t="str">
        <f>IF(K4&lt;$C$1,"",VLOOKUP(DAY(K4),設定入力!$G$5:$L$35,5,0))</f>
        <v/>
      </c>
      <c r="L6" s="147"/>
      <c r="M6" s="146" t="str">
        <f>IF(M4&lt;$C$1,"",VLOOKUP(DAY(M4),設定入力!$G$5:$L$35,5,0))</f>
        <v/>
      </c>
      <c r="N6" s="147"/>
      <c r="O6" s="146" t="str">
        <f>IF(O4&lt;$C$1,"",VLOOKUP(DAY(O4),設定入力!$G$5:$L$35,5,0))</f>
        <v/>
      </c>
      <c r="P6" s="147"/>
    </row>
    <row r="7" spans="3:18" ht="28.15" customHeight="1" x14ac:dyDescent="0.15">
      <c r="C7" s="148" t="str">
        <f>IF(C4&lt;$C$1,"",VLOOKUP(DAY(C4),設定入力!$G$5:$L$35,6,0))</f>
        <v/>
      </c>
      <c r="D7" s="149"/>
      <c r="E7" s="148" t="str">
        <f>IF(E4&lt;$C$1,"",VLOOKUP(DAY(E4),設定入力!$G$5:$L$35,6,0))</f>
        <v/>
      </c>
      <c r="F7" s="149"/>
      <c r="G7" s="148" t="str">
        <f>IF(G4&lt;$C$1,"",VLOOKUP(DAY(G4),設定入力!$G$5:$L$35,6,0))</f>
        <v/>
      </c>
      <c r="H7" s="149"/>
      <c r="I7" s="148" t="str">
        <f>IF(I4&lt;$C$1,"",VLOOKUP(DAY(I4),設定入力!$G$5:$L$35,6,0))</f>
        <v/>
      </c>
      <c r="J7" s="149"/>
      <c r="K7" s="148" t="str">
        <f>IF(K4&lt;$C$1,"",VLOOKUP(DAY(K4),設定入力!$G$5:$L$35,6,0))</f>
        <v/>
      </c>
      <c r="L7" s="149"/>
      <c r="M7" s="148" t="str">
        <f>IF(M4&lt;$C$1,"",VLOOKUP(DAY(M4),設定入力!$G$5:$L$35,6,0))</f>
        <v/>
      </c>
      <c r="N7" s="149"/>
      <c r="O7" s="148" t="str">
        <f>IF(O4&lt;$C$1,"",VLOOKUP(DAY(O4),設定入力!$G$5:$L$35,6,0))</f>
        <v/>
      </c>
      <c r="P7" s="149"/>
    </row>
    <row r="8" spans="3:18" ht="28.15" customHeight="1" x14ac:dyDescent="0.15">
      <c r="C8" s="32">
        <f t="shared" ref="C8:O8" si="0">C4+7</f>
        <v>45201</v>
      </c>
      <c r="D8" s="110" t="str">
        <f>IF(VLOOKUP(DAY(C8),設定入力!$G$5:$I$35,3,0)="","",VLOOKUP(DAY(C8),設定入力!$G$5:$I$35,3,0))</f>
        <v/>
      </c>
      <c r="E8" s="32">
        <f t="shared" si="0"/>
        <v>45202</v>
      </c>
      <c r="F8" s="110" t="str">
        <f>IF(VLOOKUP(DAY(E8),設定入力!$G$5:$I$35,3,0)="","",VLOOKUP(DAY(E8),設定入力!$G$5:$I$35,3,0))</f>
        <v/>
      </c>
      <c r="G8" s="32">
        <f t="shared" si="0"/>
        <v>45203</v>
      </c>
      <c r="H8" s="110" t="str">
        <f>IF(VLOOKUP(DAY(G8),設定入力!$G$5:$I$35,3,0)="","",VLOOKUP(DAY(G8),設定入力!$G$5:$I$35,3,0))</f>
        <v/>
      </c>
      <c r="I8" s="32">
        <f t="shared" si="0"/>
        <v>45204</v>
      </c>
      <c r="J8" s="110" t="str">
        <f>IF(VLOOKUP(DAY(I8),設定入力!$G$5:$I$35,3,0)="","",VLOOKUP(DAY(I8),設定入力!$G$5:$I$35,3,0))</f>
        <v/>
      </c>
      <c r="K8" s="32">
        <f t="shared" si="0"/>
        <v>45205</v>
      </c>
      <c r="L8" s="110" t="str">
        <f>IF(VLOOKUP(DAY(K8),設定入力!$G$5:$I$35,3,0)="","",VLOOKUP(DAY(K8),設定入力!$G$5:$I$35,3,0))</f>
        <v/>
      </c>
      <c r="M8" s="33">
        <f t="shared" si="0"/>
        <v>45206</v>
      </c>
      <c r="N8" s="110" t="str">
        <f>IF(VLOOKUP(DAY(M8),設定入力!$G$5:$I$35,3,0)="","",VLOOKUP(DAY(M8),設定入力!$G$5:$I$35,3,0))</f>
        <v/>
      </c>
      <c r="O8" s="34">
        <f t="shared" si="0"/>
        <v>45207</v>
      </c>
      <c r="P8" s="111" t="str">
        <f>IF(VLOOKUP(DAY(O8),設定入力!$G$5:$I$35,3,0)="","",VLOOKUP(DAY(O8),設定入力!$G$5:$I$35,3,0))</f>
        <v/>
      </c>
    </row>
    <row r="9" spans="3:18" ht="28.15" customHeight="1" x14ac:dyDescent="0.15">
      <c r="C9" s="146" t="str">
        <f>VLOOKUP(DAY(C8),設定入力!$G$5:$L$35,4,0)</f>
        <v/>
      </c>
      <c r="D9" s="147"/>
      <c r="E9" s="146" t="str">
        <f>VLOOKUP(DAY(E8),設定入力!$G$5:$L$35,4,0)</f>
        <v/>
      </c>
      <c r="F9" s="147"/>
      <c r="G9" s="146" t="str">
        <f>VLOOKUP(DAY(G8),設定入力!$G$5:$L$35,4,0)</f>
        <v/>
      </c>
      <c r="H9" s="147"/>
      <c r="I9" s="146" t="str">
        <f>VLOOKUP(DAY(I8),設定入力!$G$5:$L$35,4,0)</f>
        <v/>
      </c>
      <c r="J9" s="147"/>
      <c r="K9" s="146" t="str">
        <f>VLOOKUP(DAY(K8),設定入力!$G$5:$L$35,4,0)</f>
        <v/>
      </c>
      <c r="L9" s="147"/>
      <c r="M9" s="146" t="str">
        <f>VLOOKUP(DAY(M8),設定入力!$G$5:$L$35,4,0)</f>
        <v/>
      </c>
      <c r="N9" s="147"/>
      <c r="O9" s="146" t="str">
        <f>VLOOKUP(DAY(O8),設定入力!$G$5:$L$35,4,0)</f>
        <v/>
      </c>
      <c r="P9" s="147"/>
    </row>
    <row r="10" spans="3:18" ht="28.15" customHeight="1" x14ac:dyDescent="0.15">
      <c r="C10" s="146" t="str">
        <f>VLOOKUP(DAY(C8),設定入力!$G$5:$L$35,5,0)</f>
        <v/>
      </c>
      <c r="D10" s="147"/>
      <c r="E10" s="146" t="str">
        <f>VLOOKUP(DAY(E8),設定入力!$G$5:$L$35,5,0)</f>
        <v/>
      </c>
      <c r="F10" s="147"/>
      <c r="G10" s="146" t="str">
        <f>VLOOKUP(DAY(G8),設定入力!$G$5:$L$35,5,0)</f>
        <v/>
      </c>
      <c r="H10" s="147"/>
      <c r="I10" s="146" t="str">
        <f>VLOOKUP(DAY(I8),設定入力!$G$5:$L$35,5,0)</f>
        <v/>
      </c>
      <c r="J10" s="147"/>
      <c r="K10" s="146" t="str">
        <f>VLOOKUP(DAY(K8),設定入力!$G$5:$L$35,5,0)</f>
        <v/>
      </c>
      <c r="L10" s="147"/>
      <c r="M10" s="146" t="str">
        <f>VLOOKUP(DAY(M8),設定入力!$G$5:$L$35,5,0)</f>
        <v/>
      </c>
      <c r="N10" s="147"/>
      <c r="O10" s="146" t="str">
        <f>VLOOKUP(DAY(O8),設定入力!$G$5:$L$35,5,0)</f>
        <v/>
      </c>
      <c r="P10" s="147"/>
    </row>
    <row r="11" spans="3:18" ht="28.15" customHeight="1" x14ac:dyDescent="0.15">
      <c r="C11" s="148" t="str">
        <f>VLOOKUP(DAY(C8),設定入力!$G$5:$L$35,6,0)</f>
        <v/>
      </c>
      <c r="D11" s="149"/>
      <c r="E11" s="148" t="str">
        <f>VLOOKUP(DAY(E8),設定入力!$G$5:$L$35,6,0)</f>
        <v/>
      </c>
      <c r="F11" s="149"/>
      <c r="G11" s="148" t="str">
        <f>VLOOKUP(DAY(G8),設定入力!$G$5:$L$35,6,0)</f>
        <v/>
      </c>
      <c r="H11" s="149"/>
      <c r="I11" s="148" t="str">
        <f>VLOOKUP(DAY(I8),設定入力!$G$5:$L$35,6,0)</f>
        <v/>
      </c>
      <c r="J11" s="149"/>
      <c r="K11" s="148" t="str">
        <f>VLOOKUP(DAY(K8),設定入力!$G$5:$L$35,6,0)</f>
        <v/>
      </c>
      <c r="L11" s="149"/>
      <c r="M11" s="148" t="str">
        <f>VLOOKUP(DAY(M8),設定入力!$G$5:$L$35,6,0)</f>
        <v/>
      </c>
      <c r="N11" s="149"/>
      <c r="O11" s="148" t="str">
        <f>VLOOKUP(DAY(O8),設定入力!$G$5:$L$35,6,0)</f>
        <v/>
      </c>
      <c r="P11" s="149"/>
    </row>
    <row r="12" spans="3:18" ht="28.15" customHeight="1" x14ac:dyDescent="0.15">
      <c r="C12" s="32">
        <f t="shared" ref="C12:O12" si="1">C4+14</f>
        <v>45208</v>
      </c>
      <c r="D12" s="110" t="str">
        <f>IF(VLOOKUP(DAY(C12),設定入力!$G$5:$I$35,3,0)="","",VLOOKUP(DAY(C12),設定入力!$G$5:$I$35,3,0))</f>
        <v/>
      </c>
      <c r="E12" s="32">
        <f t="shared" si="1"/>
        <v>45209</v>
      </c>
      <c r="F12" s="110" t="str">
        <f>IF(VLOOKUP(DAY(E12),設定入力!$G$5:$I$35,3,0)="","",VLOOKUP(DAY(E12),設定入力!$G$5:$I$35,3,0))</f>
        <v/>
      </c>
      <c r="G12" s="32">
        <f t="shared" si="1"/>
        <v>45210</v>
      </c>
      <c r="H12" s="110" t="str">
        <f>IF(VLOOKUP(DAY(G12),設定入力!$G$5:$I$35,3,0)="","",VLOOKUP(DAY(G12),設定入力!$G$5:$I$35,3,0))</f>
        <v/>
      </c>
      <c r="I12" s="32">
        <f t="shared" si="1"/>
        <v>45211</v>
      </c>
      <c r="J12" s="110" t="str">
        <f>IF(VLOOKUP(DAY(I12),設定入力!$G$5:$I$35,3,0)="","",VLOOKUP(DAY(I12),設定入力!$G$5:$I$35,3,0))</f>
        <v/>
      </c>
      <c r="K12" s="32">
        <f t="shared" si="1"/>
        <v>45212</v>
      </c>
      <c r="L12" s="110" t="str">
        <f>IF(VLOOKUP(DAY(K12),設定入力!$G$5:$I$35,3,0)="","",VLOOKUP(DAY(K12),設定入力!$G$5:$I$35,3,0))</f>
        <v/>
      </c>
      <c r="M12" s="33">
        <f t="shared" si="1"/>
        <v>45213</v>
      </c>
      <c r="N12" s="110" t="str">
        <f>IF(VLOOKUP(DAY(M12),設定入力!$G$5:$I$35,3,0)="","",VLOOKUP(DAY(M12),設定入力!$G$5:$I$35,3,0))</f>
        <v/>
      </c>
      <c r="O12" s="34">
        <f t="shared" si="1"/>
        <v>45214</v>
      </c>
      <c r="P12" s="111" t="str">
        <f>IF(VLOOKUP(DAY(O12),設定入力!$G$5:$I$35,3,0)="","",VLOOKUP(DAY(O12),設定入力!$G$5:$I$35,3,0))</f>
        <v/>
      </c>
    </row>
    <row r="13" spans="3:18" ht="28.15" customHeight="1" x14ac:dyDescent="0.15">
      <c r="C13" s="146" t="str">
        <f>VLOOKUP(DAY(C12),設定入力!$G$5:$L$35,4,0)</f>
        <v/>
      </c>
      <c r="D13" s="147"/>
      <c r="E13" s="146" t="str">
        <f>VLOOKUP(DAY(E12),設定入力!$G$5:$L$35,4,0)</f>
        <v/>
      </c>
      <c r="F13" s="147"/>
      <c r="G13" s="146" t="str">
        <f>VLOOKUP(DAY(G12),設定入力!$G$5:$L$35,4,0)</f>
        <v/>
      </c>
      <c r="H13" s="147"/>
      <c r="I13" s="146" t="str">
        <f>VLOOKUP(DAY(I12),設定入力!$G$5:$L$35,4,0)</f>
        <v/>
      </c>
      <c r="J13" s="147"/>
      <c r="K13" s="146" t="str">
        <f>VLOOKUP(DAY(K12),設定入力!$G$5:$L$35,4,0)</f>
        <v/>
      </c>
      <c r="L13" s="147"/>
      <c r="M13" s="146" t="str">
        <f>VLOOKUP(DAY(M12),設定入力!$G$5:$L$35,4,0)</f>
        <v/>
      </c>
      <c r="N13" s="147"/>
      <c r="O13" s="146" t="str">
        <f>VLOOKUP(DAY(O12),設定入力!$G$5:$L$35,4,0)</f>
        <v/>
      </c>
      <c r="P13" s="147"/>
      <c r="Q13" s="31"/>
      <c r="R13" s="31"/>
    </row>
    <row r="14" spans="3:18" ht="28.15" customHeight="1" x14ac:dyDescent="0.15">
      <c r="C14" s="146" t="str">
        <f>VLOOKUP(DAY(C12),設定入力!$G$5:$L$35,5,0)</f>
        <v/>
      </c>
      <c r="D14" s="147"/>
      <c r="E14" s="146" t="str">
        <f>VLOOKUP(DAY(E12),設定入力!$G$5:$L$35,5,0)</f>
        <v/>
      </c>
      <c r="F14" s="147"/>
      <c r="G14" s="146" t="str">
        <f>VLOOKUP(DAY(G12),設定入力!$G$5:$L$35,5,0)</f>
        <v/>
      </c>
      <c r="H14" s="147"/>
      <c r="I14" s="146" t="str">
        <f>VLOOKUP(DAY(I12),設定入力!$G$5:$L$35,5,0)</f>
        <v/>
      </c>
      <c r="J14" s="147"/>
      <c r="K14" s="146" t="str">
        <f>VLOOKUP(DAY(K12),設定入力!$G$5:$L$35,5,0)</f>
        <v/>
      </c>
      <c r="L14" s="147"/>
      <c r="M14" s="146" t="str">
        <f>VLOOKUP(DAY(M12),設定入力!$G$5:$L$35,5,0)</f>
        <v/>
      </c>
      <c r="N14" s="147"/>
      <c r="O14" s="146" t="str">
        <f>VLOOKUP(DAY(O12),設定入力!$G$5:$L$35,5,0)</f>
        <v/>
      </c>
      <c r="P14" s="147"/>
      <c r="Q14" s="31"/>
      <c r="R14" s="31"/>
    </row>
    <row r="15" spans="3:18" ht="28.15" customHeight="1" x14ac:dyDescent="0.15">
      <c r="C15" s="148" t="str">
        <f>VLOOKUP(DAY(C12),設定入力!$G$5:$L$35,6,0)</f>
        <v/>
      </c>
      <c r="D15" s="149"/>
      <c r="E15" s="148" t="str">
        <f>VLOOKUP(DAY(E12),設定入力!$G$5:$L$35,6,0)</f>
        <v/>
      </c>
      <c r="F15" s="149"/>
      <c r="G15" s="148" t="str">
        <f>VLOOKUP(DAY(G12),設定入力!$G$5:$L$35,6,0)</f>
        <v/>
      </c>
      <c r="H15" s="149"/>
      <c r="I15" s="148" t="str">
        <f>VLOOKUP(DAY(I12),設定入力!$G$5:$L$35,6,0)</f>
        <v/>
      </c>
      <c r="J15" s="149"/>
      <c r="K15" s="148" t="str">
        <f>VLOOKUP(DAY(K12),設定入力!$G$5:$L$35,6,0)</f>
        <v/>
      </c>
      <c r="L15" s="149"/>
      <c r="M15" s="148" t="str">
        <f>VLOOKUP(DAY(M12),設定入力!$G$5:$L$35,6,0)</f>
        <v/>
      </c>
      <c r="N15" s="149"/>
      <c r="O15" s="148" t="str">
        <f>VLOOKUP(DAY(O12),設定入力!$G$5:$L$35,6,0)</f>
        <v/>
      </c>
      <c r="P15" s="149"/>
    </row>
    <row r="16" spans="3:18" ht="28.15" customHeight="1" x14ac:dyDescent="0.15">
      <c r="C16" s="32">
        <f t="shared" ref="C16:O16" si="2">C4+21</f>
        <v>45215</v>
      </c>
      <c r="D16" s="110" t="str">
        <f>IF(VLOOKUP(DAY(C16),設定入力!$G$5:$I$35,3,0)="","",VLOOKUP(DAY(C16),設定入力!$G$5:$I$35,3,0))</f>
        <v/>
      </c>
      <c r="E16" s="32">
        <f t="shared" si="2"/>
        <v>45216</v>
      </c>
      <c r="F16" s="110" t="str">
        <f>IF(VLOOKUP(DAY(E16),設定入力!$G$5:$I$35,3,0)="","",VLOOKUP(DAY(E16),設定入力!$G$5:$I$35,3,0))</f>
        <v/>
      </c>
      <c r="G16" s="32">
        <f t="shared" si="2"/>
        <v>45217</v>
      </c>
      <c r="H16" s="110" t="str">
        <f>IF(VLOOKUP(DAY(G16),設定入力!$G$5:$I$35,3,0)="","",VLOOKUP(DAY(G16),設定入力!$G$5:$I$35,3,0))</f>
        <v/>
      </c>
      <c r="I16" s="32">
        <f t="shared" si="2"/>
        <v>45218</v>
      </c>
      <c r="J16" s="110" t="str">
        <f>IF(VLOOKUP(DAY(I16),設定入力!$G$5:$I$35,3,0)="","",VLOOKUP(DAY(I16),設定入力!$G$5:$I$35,3,0))</f>
        <v/>
      </c>
      <c r="K16" s="32">
        <f t="shared" si="2"/>
        <v>45219</v>
      </c>
      <c r="L16" s="110" t="str">
        <f>IF(VLOOKUP(DAY(K16),設定入力!$G$5:$I$35,3,0)="","",VLOOKUP(DAY(K16),設定入力!$G$5:$I$35,3,0))</f>
        <v/>
      </c>
      <c r="M16" s="33">
        <f t="shared" si="2"/>
        <v>45220</v>
      </c>
      <c r="N16" s="110" t="str">
        <f>IF(VLOOKUP(DAY(M16),設定入力!$G$5:$I$35,3,0)="","",VLOOKUP(DAY(M16),設定入力!$G$5:$I$35,3,0))</f>
        <v/>
      </c>
      <c r="O16" s="34">
        <f t="shared" si="2"/>
        <v>45221</v>
      </c>
      <c r="P16" s="111" t="str">
        <f>IF(VLOOKUP(DAY(O16),設定入力!$G$5:$I$35,3,0)="","",VLOOKUP(DAY(O16),設定入力!$G$5:$I$35,3,0))</f>
        <v/>
      </c>
    </row>
    <row r="17" spans="3:16" ht="28.15" customHeight="1" x14ac:dyDescent="0.15">
      <c r="C17" s="146" t="str">
        <f>VLOOKUP(DAY(C16),設定入力!$G$5:$L$35,4,0)</f>
        <v/>
      </c>
      <c r="D17" s="147"/>
      <c r="E17" s="146" t="str">
        <f>VLOOKUP(DAY(E16),設定入力!$G$5:$L$35,4,0)</f>
        <v/>
      </c>
      <c r="F17" s="147"/>
      <c r="G17" s="146" t="str">
        <f>VLOOKUP(DAY(G16),設定入力!$G$5:$L$35,4,0)</f>
        <v/>
      </c>
      <c r="H17" s="147"/>
      <c r="I17" s="146" t="str">
        <f>VLOOKUP(DAY(I16),設定入力!$G$5:$L$35,4,0)</f>
        <v/>
      </c>
      <c r="J17" s="147"/>
      <c r="K17" s="146" t="str">
        <f>VLOOKUP(DAY(K16),設定入力!$G$5:$L$35,4,0)</f>
        <v/>
      </c>
      <c r="L17" s="147"/>
      <c r="M17" s="146" t="str">
        <f>VLOOKUP(DAY(M16),設定入力!$G$5:$L$35,4,0)</f>
        <v/>
      </c>
      <c r="N17" s="147"/>
      <c r="O17" s="146" t="str">
        <f>VLOOKUP(DAY(O16),設定入力!$G$5:$L$35,4,0)</f>
        <v/>
      </c>
      <c r="P17" s="147"/>
    </row>
    <row r="18" spans="3:16" ht="28.15" customHeight="1" x14ac:dyDescent="0.15">
      <c r="C18" s="146" t="str">
        <f>VLOOKUP(DAY(C16),設定入力!$G$5:$L$35,5,0)</f>
        <v/>
      </c>
      <c r="D18" s="147"/>
      <c r="E18" s="146" t="str">
        <f>VLOOKUP(DAY(E16),設定入力!$G$5:$L$35,5,0)</f>
        <v/>
      </c>
      <c r="F18" s="147"/>
      <c r="G18" s="146" t="str">
        <f>VLOOKUP(DAY(G16),設定入力!$G$5:$L$35,5,0)</f>
        <v/>
      </c>
      <c r="H18" s="147"/>
      <c r="I18" s="146" t="str">
        <f>VLOOKUP(DAY(I16),設定入力!$G$5:$L$35,5,0)</f>
        <v/>
      </c>
      <c r="J18" s="147"/>
      <c r="K18" s="146" t="str">
        <f>VLOOKUP(DAY(K16),設定入力!$G$5:$L$35,5,0)</f>
        <v/>
      </c>
      <c r="L18" s="147"/>
      <c r="M18" s="146" t="str">
        <f>VLOOKUP(DAY(M16),設定入力!$G$5:$L$35,5,0)</f>
        <v/>
      </c>
      <c r="N18" s="147"/>
      <c r="O18" s="146" t="str">
        <f>VLOOKUP(DAY(O16),設定入力!$G$5:$L$35,5,0)</f>
        <v/>
      </c>
      <c r="P18" s="147"/>
    </row>
    <row r="19" spans="3:16" ht="28.15" customHeight="1" x14ac:dyDescent="0.15">
      <c r="C19" s="146" t="str">
        <f>VLOOKUP(DAY(C16),設定入力!$G$5:$L$35,6,0)</f>
        <v/>
      </c>
      <c r="D19" s="147"/>
      <c r="E19" s="146" t="str">
        <f>VLOOKUP(DAY(E16),設定入力!$G$5:$L$35,6,0)</f>
        <v/>
      </c>
      <c r="F19" s="147"/>
      <c r="G19" s="146" t="str">
        <f>VLOOKUP(DAY(G16),設定入力!$G$5:$L$35,6,0)</f>
        <v/>
      </c>
      <c r="H19" s="147"/>
      <c r="I19" s="146" t="str">
        <f>VLOOKUP(DAY(I16),設定入力!$G$5:$L$35,6,0)</f>
        <v/>
      </c>
      <c r="J19" s="147"/>
      <c r="K19" s="146" t="str">
        <f>VLOOKUP(DAY(K16),設定入力!$G$5:$L$35,6,0)</f>
        <v/>
      </c>
      <c r="L19" s="147"/>
      <c r="M19" s="146" t="str">
        <f>VLOOKUP(DAY(M16),設定入力!$G$5:$L$35,6,0)</f>
        <v/>
      </c>
      <c r="N19" s="147"/>
      <c r="O19" s="146" t="str">
        <f>VLOOKUP(DAY(O16),設定入力!$G$5:$L$35,6,0)</f>
        <v/>
      </c>
      <c r="P19" s="147"/>
    </row>
    <row r="20" spans="3:16" ht="28.15" customHeight="1" x14ac:dyDescent="0.15">
      <c r="C20" s="32">
        <f t="shared" ref="C20:O20" si="3">C4+28</f>
        <v>45222</v>
      </c>
      <c r="D20" s="110" t="str">
        <f>IF(C20&gt;$C$29,"",IF(VLOOKUP(DAY(C20),設定入力!$G$5:$I$35,3,0)="","",VLOOKUP(DAY(C20),設定入力!$G$5:$I$35,3,0)))</f>
        <v/>
      </c>
      <c r="E20" s="32">
        <f t="shared" si="3"/>
        <v>45223</v>
      </c>
      <c r="F20" s="110" t="str">
        <f>IF(E20&gt;$C$29,"",IF(VLOOKUP(DAY(E20),設定入力!$G$5:$I$35,3,0)="","",VLOOKUP(DAY(E20),設定入力!$G$5:$I$35,3,0)))</f>
        <v/>
      </c>
      <c r="G20" s="32">
        <f t="shared" si="3"/>
        <v>45224</v>
      </c>
      <c r="H20" s="110" t="str">
        <f>IF(G20&gt;$C$29,"",IF(VLOOKUP(DAY(G20),設定入力!$G$5:$I$35,3,0)="","",VLOOKUP(DAY(G20),設定入力!$G$5:$I$35,3,0)))</f>
        <v/>
      </c>
      <c r="I20" s="32">
        <f t="shared" si="3"/>
        <v>45225</v>
      </c>
      <c r="J20" s="110" t="str">
        <f>IF(I20&gt;$C$29,"",IF(VLOOKUP(DAY(I20),設定入力!$G$5:$I$35,3,0)="","",VLOOKUP(DAY(I20),設定入力!$G$5:$I$35,3,0)))</f>
        <v/>
      </c>
      <c r="K20" s="32">
        <f t="shared" si="3"/>
        <v>45226</v>
      </c>
      <c r="L20" s="110" t="str">
        <f>IF(K20&gt;$C$29,"",IF(VLOOKUP(DAY(K20),設定入力!$G$5:$I$35,3,0)="","",VLOOKUP(DAY(K20),設定入力!$G$5:$I$35,3,0)))</f>
        <v/>
      </c>
      <c r="M20" s="33">
        <f t="shared" si="3"/>
        <v>45227</v>
      </c>
      <c r="N20" s="110" t="str">
        <f>IF(M20&gt;$C$29,"",IF(VLOOKUP(DAY(M20),設定入力!$G$5:$I$35,3,0)="","",VLOOKUP(DAY(M20),設定入力!$G$5:$I$35,3,0)))</f>
        <v/>
      </c>
      <c r="O20" s="34">
        <f t="shared" si="3"/>
        <v>45228</v>
      </c>
      <c r="P20" s="111" t="str">
        <f>IF(O20&gt;$C$29,"",IF(VLOOKUP(DAY(O20),設定入力!$G$5:$I$35,3,0)="","",VLOOKUP(DAY(O20),設定入力!$G$5:$I$35,3,0)))</f>
        <v/>
      </c>
    </row>
    <row r="21" spans="3:16" ht="28.15" customHeight="1" x14ac:dyDescent="0.15">
      <c r="C21" s="146" t="str">
        <f>IF(C20&gt;$C$29,"",VLOOKUP(DAY(C20),設定入力!$G$5:$L$35,4,0))</f>
        <v/>
      </c>
      <c r="D21" s="147"/>
      <c r="E21" s="146" t="str">
        <f>IF(E20&gt;$C$29,"",VLOOKUP(DAY(E20),設定入力!$G$5:$L$35,4,0))</f>
        <v/>
      </c>
      <c r="F21" s="147"/>
      <c r="G21" s="146" t="str">
        <f>IF(G20&gt;$C$29,"",VLOOKUP(DAY(G20),設定入力!$G$5:$L$35,4,0))</f>
        <v/>
      </c>
      <c r="H21" s="147"/>
      <c r="I21" s="146" t="str">
        <f>IF(I20&gt;$C$29,"",VLOOKUP(DAY(I20),設定入力!$G$5:$L$35,4,0))</f>
        <v/>
      </c>
      <c r="J21" s="147"/>
      <c r="K21" s="146" t="str">
        <f>IF(K20&gt;$C$29,"",VLOOKUP(DAY(K20),設定入力!$G$5:$L$35,4,0))</f>
        <v/>
      </c>
      <c r="L21" s="147"/>
      <c r="M21" s="146" t="str">
        <f>IF(M20&gt;$C$29,"",VLOOKUP(DAY(M20),設定入力!$G$5:$L$35,4,0))</f>
        <v/>
      </c>
      <c r="N21" s="147"/>
      <c r="O21" s="146" t="str">
        <f>IF(O20&gt;$C$29,"",VLOOKUP(DAY(O20),設定入力!$G$5:$L$35,4,0))</f>
        <v/>
      </c>
      <c r="P21" s="147"/>
    </row>
    <row r="22" spans="3:16" ht="28.15" customHeight="1" x14ac:dyDescent="0.15">
      <c r="C22" s="146" t="str">
        <f>IF(C20&gt;$C$29,"",VLOOKUP(DAY(C20),設定入力!$G$5:$L$35,5,0))</f>
        <v/>
      </c>
      <c r="D22" s="147"/>
      <c r="E22" s="146" t="str">
        <f>IF(E20&gt;$C$29,"",VLOOKUP(DAY(E20),設定入力!$G$5:$L$35,5,0))</f>
        <v/>
      </c>
      <c r="F22" s="147"/>
      <c r="G22" s="146" t="str">
        <f>IF(G20&gt;$C$29,"",VLOOKUP(DAY(G20),設定入力!$G$5:$L$35,5,0))</f>
        <v/>
      </c>
      <c r="H22" s="147"/>
      <c r="I22" s="146" t="str">
        <f>IF(I20&gt;$C$29,"",VLOOKUP(DAY(I20),設定入力!$G$5:$L$35,5,0))</f>
        <v/>
      </c>
      <c r="J22" s="147"/>
      <c r="K22" s="146" t="str">
        <f>IF(K20&gt;$C$29,"",VLOOKUP(DAY(K20),設定入力!$G$5:$L$35,5,0))</f>
        <v/>
      </c>
      <c r="L22" s="147"/>
      <c r="M22" s="146" t="str">
        <f>IF(M20&gt;$C$29,"",VLOOKUP(DAY(M20),設定入力!$G$5:$L$35,5,0))</f>
        <v/>
      </c>
      <c r="N22" s="147"/>
      <c r="O22" s="146" t="str">
        <f>IF(O20&gt;$C$29,"",VLOOKUP(DAY(O20),設定入力!$G$5:$L$35,5,0))</f>
        <v/>
      </c>
      <c r="P22" s="147"/>
    </row>
    <row r="23" spans="3:16" ht="28.15" customHeight="1" x14ac:dyDescent="0.15">
      <c r="C23" s="146" t="str">
        <f>IF(C20&gt;$C$29,"",VLOOKUP(DAY(C20),設定入力!$G$5:$L$35,6,0))</f>
        <v/>
      </c>
      <c r="D23" s="147"/>
      <c r="E23" s="146" t="str">
        <f>IF(E20&gt;$C$29,"",VLOOKUP(DAY(E20),設定入力!$G$5:$L$35,6,0))</f>
        <v/>
      </c>
      <c r="F23" s="147"/>
      <c r="G23" s="146" t="str">
        <f>IF(G20&gt;$C$29,"",VLOOKUP(DAY(G20),設定入力!$G$5:$L$35,6,0))</f>
        <v/>
      </c>
      <c r="H23" s="147"/>
      <c r="I23" s="146" t="str">
        <f>IF(I20&gt;$C$29,"",VLOOKUP(DAY(I20),設定入力!$G$5:$L$35,6,0))</f>
        <v/>
      </c>
      <c r="J23" s="147"/>
      <c r="K23" s="146" t="str">
        <f>IF(K20&gt;$C$29,"",VLOOKUP(DAY(K20),設定入力!$G$5:$L$35,6,0))</f>
        <v/>
      </c>
      <c r="L23" s="147"/>
      <c r="M23" s="146" t="str">
        <f>IF(M20&gt;$C$29,"",VLOOKUP(DAY(M20),設定入力!$G$5:$L$35,6,0))</f>
        <v/>
      </c>
      <c r="N23" s="147"/>
      <c r="O23" s="146" t="str">
        <f>IF(O20&gt;$C$29,"",VLOOKUP(DAY(O20),設定入力!$G$5:$L$35,6,0))</f>
        <v/>
      </c>
      <c r="P23" s="147"/>
    </row>
    <row r="24" spans="3:16" ht="28.15" customHeight="1" x14ac:dyDescent="0.15">
      <c r="C24" s="32">
        <f t="shared" ref="C24:O24" si="4">C4+35</f>
        <v>45229</v>
      </c>
      <c r="D24" s="110" t="str">
        <f>IF(C24&gt;$C$29,"",IF(VLOOKUP(DAY(C24),設定入力!$G$5:$I$35,3,0)="","",VLOOKUP(DAY(C24),設定入力!$G$5:$I$35,3,0)))</f>
        <v/>
      </c>
      <c r="E24" s="32">
        <f t="shared" si="4"/>
        <v>45230</v>
      </c>
      <c r="F24" s="110" t="str">
        <f>IF(E24&gt;$C$29,"",IF(VLOOKUP(DAY(E24),設定入力!$G$5:$I$35,3,0)="","",VLOOKUP(DAY(E24),設定入力!$G$5:$I$35,3,0)))</f>
        <v/>
      </c>
      <c r="G24" s="32">
        <f t="shared" si="4"/>
        <v>45231</v>
      </c>
      <c r="H24" s="110" t="str">
        <f>IF(G24&gt;$C$29,"",IF(VLOOKUP(DAY(G24),設定入力!$G$5:$I$35,3,0)="","",VLOOKUP(DAY(G24),設定入力!$G$5:$I$35,3,0)))</f>
        <v/>
      </c>
      <c r="I24" s="32">
        <f t="shared" si="4"/>
        <v>45232</v>
      </c>
      <c r="J24" s="110" t="str">
        <f>IF(I24&gt;$C$29,"",IF(VLOOKUP(DAY(I24),設定入力!$G$5:$I$35,3,0)="","",VLOOKUP(DAY(I24),設定入力!$G$5:$I$35,3,0)))</f>
        <v/>
      </c>
      <c r="K24" s="32">
        <f t="shared" si="4"/>
        <v>45233</v>
      </c>
      <c r="L24" s="110" t="str">
        <f>IF(K24&gt;$C$29,"",IF(VLOOKUP(DAY(K24),設定入力!$G$5:$I$35,3,0)="","",VLOOKUP(DAY(K24),設定入力!$G$5:$I$35,3,0)))</f>
        <v/>
      </c>
      <c r="M24" s="33">
        <f t="shared" si="4"/>
        <v>45234</v>
      </c>
      <c r="N24" s="110" t="str">
        <f>IF(M24&gt;$C$29,"",IF(VLOOKUP(DAY(M24),設定入力!$G$5:$I$35,3,0)="","",VLOOKUP(DAY(M24),設定入力!$G$5:$I$35,3,0)))</f>
        <v/>
      </c>
      <c r="O24" s="34">
        <f t="shared" si="4"/>
        <v>45235</v>
      </c>
      <c r="P24" s="111" t="str">
        <f>IF(O24&gt;$C$29,"",IF(VLOOKUP(DAY(O24),設定入力!$G$5:$I$35,3,0)="","",VLOOKUP(DAY(O24),設定入力!$G$5:$I$35,3,0)))</f>
        <v/>
      </c>
    </row>
    <row r="25" spans="3:16" ht="28.15" customHeight="1" x14ac:dyDescent="0.15">
      <c r="C25" s="146" t="str">
        <f>IF(C24&gt;$C$29,"",VLOOKUP(DAY(C24),設定入力!$G$5:$L$35,4,0))</f>
        <v/>
      </c>
      <c r="D25" s="147"/>
      <c r="E25" s="146" t="str">
        <f>IF(E24&gt;$C$29,"",VLOOKUP(DAY(E24),設定入力!$G$5:$L$35,4,0))</f>
        <v/>
      </c>
      <c r="F25" s="147"/>
      <c r="G25" s="146" t="str">
        <f>IF(G24&gt;$C$29,"",VLOOKUP(DAY(G24),設定入力!$G$5:$L$35,4,0))</f>
        <v/>
      </c>
      <c r="H25" s="147"/>
      <c r="I25" s="146" t="str">
        <f>IF(I24&gt;$C$29,"",VLOOKUP(DAY(I24),設定入力!$G$5:$L$35,4,0))</f>
        <v/>
      </c>
      <c r="J25" s="147"/>
      <c r="K25" s="146" t="str">
        <f>IF(K24&gt;$C$29,"",VLOOKUP(DAY(K24),設定入力!$G$5:$L$35,4,0))</f>
        <v/>
      </c>
      <c r="L25" s="147"/>
      <c r="M25" s="146" t="str">
        <f>IF(M24&gt;$C$29,"",VLOOKUP(DAY(M24),設定入力!$G$5:$L$35,4,0))</f>
        <v/>
      </c>
      <c r="N25" s="147"/>
      <c r="O25" s="146" t="str">
        <f>IF(O24&gt;$C$29,"",VLOOKUP(DAY(O24),設定入力!$G$5:$L$35,4,0))</f>
        <v/>
      </c>
      <c r="P25" s="147"/>
    </row>
    <row r="26" spans="3:16" ht="28.15" customHeight="1" x14ac:dyDescent="0.15">
      <c r="C26" s="146" t="str">
        <f>IF(C24&gt;$C$29,"",VLOOKUP(DAY(C24),設定入力!$G$5:$L$35,5,0))</f>
        <v/>
      </c>
      <c r="D26" s="147"/>
      <c r="E26" s="146" t="str">
        <f>IF(E24&gt;$C$29,"",VLOOKUP(DAY(E24),設定入力!$G$5:$L$35,5,0))</f>
        <v/>
      </c>
      <c r="F26" s="147"/>
      <c r="G26" s="146" t="str">
        <f>IF(G24&gt;$C$29,"",VLOOKUP(DAY(G24),設定入力!$G$5:$L$35,5,0))</f>
        <v/>
      </c>
      <c r="H26" s="147"/>
      <c r="I26" s="146" t="str">
        <f>IF(I24&gt;$C$29,"",VLOOKUP(DAY(I24),設定入力!$G$5:$L$35,5,0))</f>
        <v/>
      </c>
      <c r="J26" s="147"/>
      <c r="K26" s="146" t="str">
        <f>IF(K24&gt;$C$29,"",VLOOKUP(DAY(K24),設定入力!$G$5:$L$35,5,0))</f>
        <v/>
      </c>
      <c r="L26" s="147"/>
      <c r="M26" s="146" t="str">
        <f>IF(M24&gt;$C$29,"",VLOOKUP(DAY(M24),設定入力!$G$5:$L$35,5,0))</f>
        <v/>
      </c>
      <c r="N26" s="147"/>
      <c r="O26" s="146" t="str">
        <f>IF(O24&gt;$C$29,"",VLOOKUP(DAY(O24),設定入力!$G$5:$L$35,5,0))</f>
        <v/>
      </c>
      <c r="P26" s="147"/>
    </row>
    <row r="27" spans="3:16" ht="28.15" customHeight="1" x14ac:dyDescent="0.15">
      <c r="C27" s="148" t="str">
        <f>IF(C24&gt;$C$29,"",VLOOKUP(DAY(C24),設定入力!$G$5:$L$35,6,0))</f>
        <v/>
      </c>
      <c r="D27" s="149"/>
      <c r="E27" s="148" t="str">
        <f>IF(E24&gt;$C$29,"",VLOOKUP(DAY(E24),設定入力!$G$5:$L$35,6,0))</f>
        <v/>
      </c>
      <c r="F27" s="149"/>
      <c r="G27" s="148" t="str">
        <f>IF(G24&gt;$C$29,"",VLOOKUP(DAY(G24),設定入力!$G$5:$L$35,6,0))</f>
        <v/>
      </c>
      <c r="H27" s="149"/>
      <c r="I27" s="148" t="str">
        <f>IF(I24&gt;$C$29,"",VLOOKUP(DAY(I24),設定入力!$G$5:$L$35,6,0))</f>
        <v/>
      </c>
      <c r="J27" s="149"/>
      <c r="K27" s="148" t="str">
        <f>IF(K24&gt;$C$29,"",VLOOKUP(DAY(K24),設定入力!$G$5:$L$35,6,0))</f>
        <v/>
      </c>
      <c r="L27" s="149"/>
      <c r="M27" s="148" t="str">
        <f>IF(M24&gt;$C$29,"",VLOOKUP(DAY(M24),設定入力!$G$5:$L$35,6,0))</f>
        <v/>
      </c>
      <c r="N27" s="149"/>
      <c r="O27" s="148" t="str">
        <f>IF(O24&gt;$C$29,"",VLOOKUP(DAY(O24),設定入力!$G$5:$L$35,6,0))</f>
        <v/>
      </c>
      <c r="P27" s="149"/>
    </row>
    <row r="28" spans="3:16" x14ac:dyDescent="0.15">
      <c r="C28" s="41">
        <f>IF(設定入力!$H$5=C3,設定入力!$D$5,0)</f>
        <v>0</v>
      </c>
      <c r="D28" s="41"/>
      <c r="E28" s="41">
        <f>IF(設定入力!$H$5=E3,設定入力!$D$5,0)</f>
        <v>0</v>
      </c>
      <c r="F28" s="41"/>
      <c r="G28" s="41">
        <f>IF(設定入力!$H$5=G3,設定入力!$D$5,0)</f>
        <v>0</v>
      </c>
      <c r="H28" s="41"/>
      <c r="I28" s="41">
        <f>IF(設定入力!$H$5=I3,設定入力!$D$5,0)</f>
        <v>0</v>
      </c>
      <c r="J28" s="41"/>
      <c r="K28" s="41">
        <f>IF(設定入力!$H$5=K3,設定入力!$D$5,0)</f>
        <v>0</v>
      </c>
      <c r="L28" s="41"/>
      <c r="M28" s="41">
        <f>IF(設定入力!$H$5=M3,設定入力!$D$5,0)</f>
        <v>0</v>
      </c>
      <c r="N28" s="41"/>
      <c r="O28" s="41">
        <f>IF(設定入力!$H$5=O3,設定入力!$D$5,0)</f>
        <v>45200</v>
      </c>
      <c r="P28" s="42"/>
    </row>
    <row r="29" spans="3:16" x14ac:dyDescent="0.15">
      <c r="C29" s="43">
        <f>EOMONTH(C1,0)</f>
        <v>45230</v>
      </c>
      <c r="D29" s="43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</row>
  </sheetData>
  <sheetProtection algorithmName="SHA-512" hashValue="DamJ19eAjJuE2Hfhr+KFfKYFpP+HtrRDweitNK9fJ8Ttf5jpE2pNOLkx95myWuScALz9Cbb+ma9PbcQJvi3+4Q==" saltValue="xwrLbTnKYobbgILHvqHztQ==" spinCount="100000" sheet="1" objects="1" scenarios="1"/>
  <mergeCells count="134">
    <mergeCell ref="O27:P27"/>
    <mergeCell ref="C27:D27"/>
    <mergeCell ref="E27:F27"/>
    <mergeCell ref="G27:H27"/>
    <mergeCell ref="I27:J27"/>
    <mergeCell ref="K27:L27"/>
    <mergeCell ref="M27:N27"/>
    <mergeCell ref="O25:P25"/>
    <mergeCell ref="C26:D26"/>
    <mergeCell ref="E26:F26"/>
    <mergeCell ref="G26:H26"/>
    <mergeCell ref="I26:J26"/>
    <mergeCell ref="K26:L26"/>
    <mergeCell ref="M26:N26"/>
    <mergeCell ref="O26:P26"/>
    <mergeCell ref="C25:D25"/>
    <mergeCell ref="E25:F25"/>
    <mergeCell ref="G25:H25"/>
    <mergeCell ref="I25:J25"/>
    <mergeCell ref="K25:L25"/>
    <mergeCell ref="M25:N25"/>
    <mergeCell ref="O22:P22"/>
    <mergeCell ref="C23:D23"/>
    <mergeCell ref="E23:F23"/>
    <mergeCell ref="G23:H23"/>
    <mergeCell ref="I23:J23"/>
    <mergeCell ref="K23:L23"/>
    <mergeCell ref="M23:N23"/>
    <mergeCell ref="O23:P23"/>
    <mergeCell ref="C22:D22"/>
    <mergeCell ref="E22:F22"/>
    <mergeCell ref="G22:H22"/>
    <mergeCell ref="I22:J22"/>
    <mergeCell ref="K22:L22"/>
    <mergeCell ref="M22:N22"/>
    <mergeCell ref="O19:P19"/>
    <mergeCell ref="C21:D21"/>
    <mergeCell ref="E21:F21"/>
    <mergeCell ref="G21:H21"/>
    <mergeCell ref="I21:J21"/>
    <mergeCell ref="K21:L21"/>
    <mergeCell ref="M21:N21"/>
    <mergeCell ref="O21:P21"/>
    <mergeCell ref="C19:D19"/>
    <mergeCell ref="E19:F19"/>
    <mergeCell ref="G19:H19"/>
    <mergeCell ref="I19:J19"/>
    <mergeCell ref="K19:L19"/>
    <mergeCell ref="M19:N19"/>
    <mergeCell ref="O17:P17"/>
    <mergeCell ref="C18:D18"/>
    <mergeCell ref="E18:F18"/>
    <mergeCell ref="G18:H18"/>
    <mergeCell ref="I18:J18"/>
    <mergeCell ref="K18:L18"/>
    <mergeCell ref="M18:N18"/>
    <mergeCell ref="O18:P18"/>
    <mergeCell ref="C17:D17"/>
    <mergeCell ref="E17:F17"/>
    <mergeCell ref="G17:H17"/>
    <mergeCell ref="I17:J17"/>
    <mergeCell ref="K17:L17"/>
    <mergeCell ref="M17:N17"/>
    <mergeCell ref="O14:P14"/>
    <mergeCell ref="C15:D15"/>
    <mergeCell ref="E15:F15"/>
    <mergeCell ref="G15:H15"/>
    <mergeCell ref="I15:J15"/>
    <mergeCell ref="K15:L15"/>
    <mergeCell ref="M15:N15"/>
    <mergeCell ref="O15:P15"/>
    <mergeCell ref="C14:D14"/>
    <mergeCell ref="E14:F14"/>
    <mergeCell ref="G14:H14"/>
    <mergeCell ref="I14:J14"/>
    <mergeCell ref="K14:L14"/>
    <mergeCell ref="M14:N14"/>
    <mergeCell ref="G5:H5"/>
    <mergeCell ref="I5:J5"/>
    <mergeCell ref="K5:L5"/>
    <mergeCell ref="M5:N5"/>
    <mergeCell ref="O5:P5"/>
    <mergeCell ref="O11:P11"/>
    <mergeCell ref="C13:D13"/>
    <mergeCell ref="E13:F13"/>
    <mergeCell ref="G13:H13"/>
    <mergeCell ref="I13:J13"/>
    <mergeCell ref="K13:L13"/>
    <mergeCell ref="M13:N13"/>
    <mergeCell ref="O13:P13"/>
    <mergeCell ref="C11:D11"/>
    <mergeCell ref="E11:F11"/>
    <mergeCell ref="G11:H11"/>
    <mergeCell ref="I11:J11"/>
    <mergeCell ref="K11:L11"/>
    <mergeCell ref="M11:N11"/>
    <mergeCell ref="O9:P9"/>
    <mergeCell ref="C10:D10"/>
    <mergeCell ref="E10:F10"/>
    <mergeCell ref="G10:H10"/>
    <mergeCell ref="I10:J10"/>
    <mergeCell ref="K10:L10"/>
    <mergeCell ref="M10:N10"/>
    <mergeCell ref="O10:P10"/>
    <mergeCell ref="C9:D9"/>
    <mergeCell ref="E9:F9"/>
    <mergeCell ref="G9:H9"/>
    <mergeCell ref="I9:J9"/>
    <mergeCell ref="K9:L9"/>
    <mergeCell ref="M9:N9"/>
    <mergeCell ref="C1:H1"/>
    <mergeCell ref="O6:P6"/>
    <mergeCell ref="C7:D7"/>
    <mergeCell ref="E7:F7"/>
    <mergeCell ref="G7:H7"/>
    <mergeCell ref="I7:J7"/>
    <mergeCell ref="K7:L7"/>
    <mergeCell ref="M7:N7"/>
    <mergeCell ref="O7:P7"/>
    <mergeCell ref="C6:D6"/>
    <mergeCell ref="E6:F6"/>
    <mergeCell ref="G6:H6"/>
    <mergeCell ref="I6:J6"/>
    <mergeCell ref="K6:L6"/>
    <mergeCell ref="M6:N6"/>
    <mergeCell ref="C3:D3"/>
    <mergeCell ref="E3:F3"/>
    <mergeCell ref="G3:H3"/>
    <mergeCell ref="I3:J3"/>
    <mergeCell ref="K3:L3"/>
    <mergeCell ref="M3:N3"/>
    <mergeCell ref="O3:P3"/>
    <mergeCell ref="C5:D5"/>
    <mergeCell ref="E5:F5"/>
  </mergeCells>
  <phoneticPr fontId="1"/>
  <conditionalFormatting sqref="C4 E4 G4 I4 K4 M4 O4">
    <cfRule type="cellIs" dxfId="9" priority="3" operator="lessThan">
      <formula>$C$1</formula>
    </cfRule>
  </conditionalFormatting>
  <conditionalFormatting sqref="C20">
    <cfRule type="cellIs" dxfId="8" priority="2" operator="greaterThan">
      <formula>$C$29</formula>
    </cfRule>
  </conditionalFormatting>
  <conditionalFormatting sqref="E20 G20 I20 K20 M20 O20 C24 E24 G24 I24 K24 M24 O24">
    <cfRule type="cellIs" dxfId="7" priority="1" operator="greaterThan">
      <formula>$C$29</formula>
    </cfRule>
  </conditionalFormatting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tabColor theme="6" tint="0.39997558519241921"/>
    <pageSetUpPr fitToPage="1"/>
  </sheetPr>
  <dimension ref="A1:DB278"/>
  <sheetViews>
    <sheetView workbookViewId="0">
      <pane xSplit="18" topLeftCell="BK1" activePane="topRight" state="frozen"/>
      <selection pane="topRight"/>
    </sheetView>
  </sheetViews>
  <sheetFormatPr defaultColWidth="5.75" defaultRowHeight="13.5" x14ac:dyDescent="0.15"/>
  <cols>
    <col min="2" max="20" width="5.75" customWidth="1"/>
    <col min="21" max="21" width="9.875" customWidth="1"/>
    <col min="22" max="26" width="5.75" customWidth="1"/>
    <col min="27" max="27" width="6.125" customWidth="1"/>
    <col min="28" max="28" width="9.75" customWidth="1"/>
    <col min="29" max="29" width="17.75" customWidth="1"/>
    <col min="30" max="34" width="5.75" customWidth="1"/>
    <col min="35" max="35" width="6.125" customWidth="1"/>
    <col min="36" max="36" width="9.75" customWidth="1"/>
    <col min="37" max="37" width="10" customWidth="1"/>
    <col min="38" max="42" width="5.75" customWidth="1"/>
    <col min="43" max="43" width="6.125" customWidth="1"/>
    <col min="44" max="44" width="9.75" customWidth="1"/>
    <col min="45" max="45" width="14.5" customWidth="1"/>
    <col min="46" max="50" width="5.75" customWidth="1"/>
    <col min="51" max="51" width="6.125" customWidth="1"/>
    <col min="52" max="53" width="9.75" customWidth="1"/>
    <col min="54" max="58" width="5.75" customWidth="1"/>
    <col min="59" max="59" width="6.125" customWidth="1"/>
    <col min="60" max="61" width="9.75" customWidth="1"/>
    <col min="62" max="65" width="5.75" customWidth="1"/>
    <col min="66" max="66" width="9.875" customWidth="1"/>
    <col min="67" max="71" width="5.75" customWidth="1"/>
    <col min="72" max="72" width="6.125" customWidth="1"/>
    <col min="73" max="73" width="9.75" customWidth="1"/>
    <col min="74" max="74" width="21.125" customWidth="1"/>
    <col min="75" max="79" width="5.75" customWidth="1"/>
    <col min="80" max="80" width="6.125" customWidth="1"/>
    <col min="81" max="81" width="9.75" customWidth="1"/>
    <col min="82" max="82" width="20" customWidth="1"/>
    <col min="83" max="87" width="5.75" customWidth="1"/>
    <col min="88" max="88" width="6.125" customWidth="1"/>
    <col min="89" max="90" width="9.75" customWidth="1"/>
    <col min="91" max="95" width="5.75" customWidth="1"/>
    <col min="96" max="96" width="6.125" customWidth="1"/>
    <col min="97" max="98" width="9.75" customWidth="1"/>
    <col min="99" max="103" width="5.75" customWidth="1"/>
    <col min="104" max="104" width="6.125" customWidth="1"/>
    <col min="105" max="106" width="9.75" customWidth="1"/>
    <col min="107" max="108" width="5.75" customWidth="1"/>
  </cols>
  <sheetData>
    <row r="1" spans="2:106" x14ac:dyDescent="0.15">
      <c r="L1" s="119" t="s">
        <v>152</v>
      </c>
      <c r="M1" s="120" t="b">
        <f>IF(C10=1,INDEX(BQ4:BQ278,MATCH(B18,BP4:BP278,0)),IF(C10=2,INDEX(BY4:BY278,MATCH(B18,BX4:BX278,0)),IF(C10=3,INDEX(CG4:CG278,MATCH(B18,CF4:CF278,0)),IF(C10=4,INDEX(CO4:CO278,MATCH(B18,CN4:CN278,0)),IF(C10=5,INDEX(CW4:CW278,MATCH(B18,CV4:CV278,0)))))))</f>
        <v>0</v>
      </c>
      <c r="P1" s="2" t="s">
        <v>113</v>
      </c>
      <c r="Q1">
        <f>IF(C10=1,MAX(X4:X247),IF(C10=2,MAX(AF4:AF278),IF(C10=3,MAX(AN4:AN278),IF(C10=4,MAX(AV4:AV278),MAX(BD4:BD278)))))</f>
        <v>30</v>
      </c>
    </row>
    <row r="2" spans="2:106" x14ac:dyDescent="0.15">
      <c r="E2" s="156" t="s">
        <v>54</v>
      </c>
      <c r="F2" s="156" t="s">
        <v>73</v>
      </c>
      <c r="G2" s="156"/>
      <c r="H2" s="156"/>
      <c r="I2" s="156"/>
      <c r="J2" s="156"/>
      <c r="L2" s="70" t="s">
        <v>86</v>
      </c>
      <c r="M2" s="1" t="b">
        <f>IF(設定入力!C24="",IF(C10=1,INDEX(X4:X278,MATCH(B17,W4:W278,0)),IF(C10=2,INDEX(AF4:AF278,MATCH(B17,AE4:AE278,0)),IF(C10=3,INDEX(AN4:AN278,MATCH(B17,AM4:AM278,0)),IF(C10=4,INDEX(AV4:AV278,MATCH(B17,AU4:AU278,0)),IF(C10=5,INDEX(BD4:BD278,MATCH(B17,BC4:BC278,0))))))),IF(C10=1,INDEX(X4:X278,MATCH(B24,W4:W278,0)),IF(C10=2,INDEX(AF4:AF278,MATCH(B24,AE4:AE278,0)),IF(C10=3,INDEX(AN4:AN278,MATCH(B24,AM4:AM278,0)),IF(C10=4,INDEX(AV4:AV278,MATCH(B24,AU4:AU278,0)),IF(C10=5,INDEX(BD4:BD278,MATCH(B24,BC4:BC278,0))))))))</f>
        <v>0</v>
      </c>
      <c r="P2" s="70" t="s">
        <v>88</v>
      </c>
      <c r="Q2" s="1">
        <f>IF(設定入力!E1=1,C20,IF(設定入力!E1=2,C21,C20+20))</f>
        <v>21</v>
      </c>
      <c r="S2" s="156" t="s">
        <v>53</v>
      </c>
      <c r="T2" s="156"/>
      <c r="U2" s="156"/>
      <c r="W2" s="74" t="s">
        <v>80</v>
      </c>
      <c r="X2" s="75"/>
      <c r="Y2" s="75"/>
      <c r="Z2" s="75"/>
      <c r="AA2" s="75"/>
      <c r="AB2" s="75"/>
      <c r="AC2" s="75"/>
      <c r="AE2" s="74" t="s">
        <v>81</v>
      </c>
      <c r="AF2" s="75"/>
      <c r="AG2" s="75"/>
      <c r="AH2" s="75"/>
      <c r="AI2" s="75"/>
      <c r="AJ2" s="75"/>
      <c r="AK2" s="75"/>
      <c r="AM2" s="74" t="s">
        <v>84</v>
      </c>
      <c r="AN2" s="75"/>
      <c r="AO2" s="75"/>
      <c r="AP2" s="75"/>
      <c r="AQ2" s="75"/>
      <c r="AR2" s="75"/>
      <c r="AS2" s="75"/>
      <c r="AU2" s="74" t="s">
        <v>82</v>
      </c>
      <c r="AV2" s="75"/>
      <c r="AW2" s="75"/>
      <c r="AX2" s="75"/>
      <c r="AY2" s="75"/>
      <c r="AZ2" s="75"/>
      <c r="BA2" s="75"/>
      <c r="BC2" s="74" t="s">
        <v>83</v>
      </c>
      <c r="BD2" s="75"/>
      <c r="BE2" s="75"/>
      <c r="BF2" s="75"/>
      <c r="BG2" s="75"/>
      <c r="BH2" s="75"/>
      <c r="BI2" s="75"/>
      <c r="BL2" s="157" t="s">
        <v>115</v>
      </c>
      <c r="BM2" s="157"/>
      <c r="BN2" s="157"/>
      <c r="BP2" s="74" t="s">
        <v>151</v>
      </c>
      <c r="BQ2" s="75"/>
      <c r="BR2" s="75"/>
      <c r="BS2" s="75"/>
      <c r="BT2" s="75"/>
      <c r="BU2" s="75"/>
      <c r="BV2" s="75"/>
      <c r="BX2" s="74" t="s">
        <v>147</v>
      </c>
      <c r="BY2" s="75"/>
      <c r="BZ2" s="75"/>
      <c r="CA2" s="75"/>
      <c r="CB2" s="75"/>
      <c r="CC2" s="75"/>
      <c r="CD2" s="75"/>
      <c r="CF2" s="74" t="s">
        <v>148</v>
      </c>
      <c r="CG2" s="75"/>
      <c r="CH2" s="75"/>
      <c r="CI2" s="75"/>
      <c r="CJ2" s="75"/>
      <c r="CK2" s="75"/>
      <c r="CL2" s="75"/>
      <c r="CN2" s="74" t="s">
        <v>149</v>
      </c>
      <c r="CO2" s="75"/>
      <c r="CP2" s="75"/>
      <c r="CQ2" s="75"/>
      <c r="CR2" s="75"/>
      <c r="CS2" s="75"/>
      <c r="CT2" s="75"/>
      <c r="CV2" s="74" t="s">
        <v>150</v>
      </c>
      <c r="CW2" s="75"/>
      <c r="CX2" s="75"/>
      <c r="CY2" s="75"/>
      <c r="CZ2" s="75"/>
      <c r="DA2" s="75"/>
      <c r="DB2" s="75"/>
    </row>
    <row r="3" spans="2:106" x14ac:dyDescent="0.15">
      <c r="E3" s="156"/>
      <c r="F3" s="9">
        <v>1</v>
      </c>
      <c r="G3" s="9">
        <v>2</v>
      </c>
      <c r="H3" s="9">
        <v>3</v>
      </c>
      <c r="I3" s="9">
        <v>4</v>
      </c>
      <c r="J3" s="9">
        <v>5</v>
      </c>
      <c r="L3" s="2" t="s">
        <v>55</v>
      </c>
      <c r="M3" s="3" t="s">
        <v>56</v>
      </c>
      <c r="P3" s="70"/>
      <c r="S3" s="8" t="s">
        <v>87</v>
      </c>
      <c r="T3" s="1" t="s">
        <v>14</v>
      </c>
      <c r="U3" s="1" t="s">
        <v>57</v>
      </c>
      <c r="W3" s="71" t="s">
        <v>79</v>
      </c>
      <c r="X3" s="71" t="s">
        <v>85</v>
      </c>
      <c r="Y3" s="7" t="s">
        <v>67</v>
      </c>
      <c r="Z3" s="7" t="s">
        <v>59</v>
      </c>
      <c r="AA3" s="80" t="s">
        <v>89</v>
      </c>
      <c r="AB3" s="7" t="s">
        <v>57</v>
      </c>
      <c r="AC3" s="7" t="s">
        <v>66</v>
      </c>
      <c r="AE3" s="71" t="s">
        <v>79</v>
      </c>
      <c r="AF3" s="71" t="s">
        <v>85</v>
      </c>
      <c r="AG3" s="7" t="s">
        <v>65</v>
      </c>
      <c r="AH3" s="7" t="s">
        <v>59</v>
      </c>
      <c r="AI3" s="80" t="s">
        <v>89</v>
      </c>
      <c r="AJ3" s="7" t="s">
        <v>57</v>
      </c>
      <c r="AK3" s="7" t="s">
        <v>66</v>
      </c>
      <c r="AM3" s="71" t="s">
        <v>79</v>
      </c>
      <c r="AN3" s="71" t="s">
        <v>85</v>
      </c>
      <c r="AO3" s="7" t="s">
        <v>65</v>
      </c>
      <c r="AP3" s="7" t="s">
        <v>59</v>
      </c>
      <c r="AQ3" s="80" t="s">
        <v>89</v>
      </c>
      <c r="AR3" s="7" t="s">
        <v>57</v>
      </c>
      <c r="AS3" s="7" t="s">
        <v>66</v>
      </c>
      <c r="AU3" s="71" t="s">
        <v>79</v>
      </c>
      <c r="AV3" s="71" t="s">
        <v>85</v>
      </c>
      <c r="AW3" s="7" t="s">
        <v>65</v>
      </c>
      <c r="AX3" s="7" t="s">
        <v>59</v>
      </c>
      <c r="AY3" s="80" t="s">
        <v>89</v>
      </c>
      <c r="AZ3" s="7" t="s">
        <v>57</v>
      </c>
      <c r="BA3" s="7" t="s">
        <v>66</v>
      </c>
      <c r="BC3" s="71" t="s">
        <v>79</v>
      </c>
      <c r="BD3" s="71" t="s">
        <v>85</v>
      </c>
      <c r="BE3" s="7" t="s">
        <v>65</v>
      </c>
      <c r="BF3" s="7" t="s">
        <v>59</v>
      </c>
      <c r="BG3" s="80" t="s">
        <v>89</v>
      </c>
      <c r="BH3" s="7" t="s">
        <v>57</v>
      </c>
      <c r="BI3" s="7" t="s">
        <v>66</v>
      </c>
      <c r="BL3" s="112" t="s">
        <v>87</v>
      </c>
      <c r="BM3" s="112" t="s">
        <v>14</v>
      </c>
      <c r="BN3" s="112" t="s">
        <v>57</v>
      </c>
      <c r="BP3" s="71" t="s">
        <v>79</v>
      </c>
      <c r="BQ3" s="71" t="s">
        <v>54</v>
      </c>
      <c r="BR3" s="7" t="s">
        <v>65</v>
      </c>
      <c r="BS3" s="7" t="s">
        <v>59</v>
      </c>
      <c r="BT3" s="80" t="s">
        <v>89</v>
      </c>
      <c r="BU3" s="7" t="s">
        <v>57</v>
      </c>
      <c r="BV3" s="7" t="s">
        <v>66</v>
      </c>
      <c r="BX3" s="71" t="s">
        <v>79</v>
      </c>
      <c r="BY3" s="71" t="s">
        <v>54</v>
      </c>
      <c r="BZ3" s="7" t="s">
        <v>65</v>
      </c>
      <c r="CA3" s="7" t="s">
        <v>59</v>
      </c>
      <c r="CB3" s="80" t="s">
        <v>89</v>
      </c>
      <c r="CC3" s="7" t="s">
        <v>57</v>
      </c>
      <c r="CD3" s="7" t="s">
        <v>66</v>
      </c>
      <c r="CF3" s="71" t="s">
        <v>79</v>
      </c>
      <c r="CG3" s="71" t="s">
        <v>54</v>
      </c>
      <c r="CH3" s="7" t="s">
        <v>65</v>
      </c>
      <c r="CI3" s="7" t="s">
        <v>59</v>
      </c>
      <c r="CJ3" s="80" t="s">
        <v>89</v>
      </c>
      <c r="CK3" s="7" t="s">
        <v>57</v>
      </c>
      <c r="CL3" s="7" t="s">
        <v>66</v>
      </c>
      <c r="CN3" s="71" t="s">
        <v>79</v>
      </c>
      <c r="CO3" s="71" t="s">
        <v>54</v>
      </c>
      <c r="CP3" s="7" t="s">
        <v>65</v>
      </c>
      <c r="CQ3" s="7" t="s">
        <v>59</v>
      </c>
      <c r="CR3" s="80" t="s">
        <v>89</v>
      </c>
      <c r="CS3" s="7" t="s">
        <v>57</v>
      </c>
      <c r="CT3" s="7" t="s">
        <v>66</v>
      </c>
      <c r="CV3" s="71" t="s">
        <v>79</v>
      </c>
      <c r="CW3" s="71" t="s">
        <v>54</v>
      </c>
      <c r="CX3" s="7" t="s">
        <v>65</v>
      </c>
      <c r="CY3" s="7" t="s">
        <v>59</v>
      </c>
      <c r="CZ3" s="80" t="s">
        <v>89</v>
      </c>
      <c r="DA3" s="7" t="s">
        <v>57</v>
      </c>
      <c r="DB3" s="7" t="s">
        <v>66</v>
      </c>
    </row>
    <row r="4" spans="2:106" x14ac:dyDescent="0.15">
      <c r="C4" s="2" t="str">
        <f>IF(設定入力!B10="","",設定入力!B10)</f>
        <v>国語</v>
      </c>
      <c r="D4" s="2">
        <f>IF(C4="","",INDEX(設定入力!$C$10:$C$14,MATCH(項目順ﾃﾞｰﾀｴﾘｱ!C4,項目順ﾃﾞｰﾀｴﾘｱ!$C$4:$C$8,0)))</f>
        <v>0</v>
      </c>
      <c r="E4" s="1">
        <v>1</v>
      </c>
      <c r="F4" s="91">
        <v>1</v>
      </c>
      <c r="G4" s="91">
        <v>1</v>
      </c>
      <c r="H4" s="91">
        <v>1</v>
      </c>
      <c r="I4" s="91">
        <v>1</v>
      </c>
      <c r="J4" s="91">
        <v>1</v>
      </c>
      <c r="L4" s="1" t="str">
        <f>IF(ISERROR(HLOOKUP($C$10,$F$3:$J$253,2,0)),"",HLOOKUP($C$10,$F$3:$J$253,2,0))</f>
        <v/>
      </c>
      <c r="M4" s="81" t="str">
        <f>IF(設定入力!E5="","",設定入力!E5)</f>
        <v/>
      </c>
      <c r="O4" s="1">
        <f>IF(設定入力!E1=2,IF(OR(M4=0,M4="",COUNT(M1)=0),0,M1),IF(OR(M4=0,M4="",COUNT(M2)=0),0,M2))</f>
        <v>0</v>
      </c>
      <c r="P4" s="5" t="str">
        <f>IF(OR(M4=2,M4=3),IF(O4+1&gt;$Q$1,"",O4+1),"")</f>
        <v/>
      </c>
      <c r="Q4" s="4" t="str">
        <f>IF(M4=3,IF(O4+2&gt;$Q$1,"",O4+2),"")</f>
        <v/>
      </c>
      <c r="S4" s="9">
        <v>1</v>
      </c>
      <c r="T4" s="1">
        <v>1</v>
      </c>
      <c r="U4" s="1" t="s">
        <v>15</v>
      </c>
      <c r="W4" s="71">
        <f>IF(AA4="","",AA4*10+F4)</f>
        <v>211</v>
      </c>
      <c r="X4" s="71">
        <f>IF(OR(COUNTBLANK(AA4)=1,ISERROR(AA4)),"",COUNT(AA4:AA4))</f>
        <v>1</v>
      </c>
      <c r="Y4" s="7" t="str">
        <f t="shared" ref="Y4:Y67" si="0">IF(AA4&gt;20,"ナビ・","1・2年のナビ・")</f>
        <v>ナビ・</v>
      </c>
      <c r="Z4" s="1" t="str">
        <f>IF(ISERROR(INDEX($C$4:$C$8,MATCH(F4,$D$4:$D$8,0))),"",INDEX($C$4:$C$8,MATCH(F4,$D$4:$D$8,0)))</f>
        <v/>
      </c>
      <c r="AA4" s="78">
        <f>Q2</f>
        <v>21</v>
      </c>
      <c r="AB4" s="1" t="str">
        <f>IF(AA4="","",VLOOKUP(AA4,S4:U53,3,0))</f>
        <v>p.2～p.3</v>
      </c>
      <c r="AC4" s="8" t="str">
        <f t="shared" ref="AC4:AC67" si="1">IF(ISERROR(IF(COUNTIF(Z4:AB4,"")&gt;=1,"",Y4&amp;Z4&amp;"【"&amp;IF(AA4&gt;20,AA4-20,AA4)&amp;"】"&amp;AB4)),"",IF(COUNTIF(Z4:AB4,"")&gt;=1,"",Y4&amp;Z4&amp;"【"&amp;IF(AA4&gt;20,AA4-20,AA4)&amp;"】"&amp;AB4))</f>
        <v/>
      </c>
      <c r="AE4" s="71">
        <f t="shared" ref="AE4:AE67" si="2">IF(AI4="","",AI4*10+G4)</f>
        <v>211</v>
      </c>
      <c r="AF4" s="71">
        <f>IF(OR(COUNTBLANK(AI4)=1,ISERROR(AI4)),"",COUNT(AI4:AI4))</f>
        <v>1</v>
      </c>
      <c r="AG4" s="7" t="str">
        <f t="shared" ref="AG4:AG67" si="3">IF(AI4&gt;20,"ナビ・","1・2年のナビ・")</f>
        <v>ナビ・</v>
      </c>
      <c r="AH4" s="1" t="str">
        <f>IF(ISERROR(INDEX($C$4:$C$8,MATCH($G$4,$D$4:$D$8,0))),"",INDEX($C$4:$C$8,MATCH($G$4,$D$4:$D$8,0)))</f>
        <v/>
      </c>
      <c r="AI4" s="89">
        <f>$Q$2</f>
        <v>21</v>
      </c>
      <c r="AJ4" s="1" t="str">
        <f>IF(AI4="","",VLOOKUP(AI4,S4:U53,3,0))</f>
        <v>p.2～p.3</v>
      </c>
      <c r="AK4" s="8" t="str">
        <f t="shared" ref="AK4:AK67" si="4">IF(ISERROR(IF(COUNTIF(AH4:AJ4,"")&gt;=1,"",AG4&amp;AH4&amp;"【"&amp;IF(AI4&gt;20,AI4-20,AI4)&amp;"】"&amp;AJ4)),"",IF(COUNTIF(AH4:AJ4,"")&gt;=1,"",AG4&amp;AH4&amp;"【"&amp;IF(AI4&gt;20,AI4-20,AI4)&amp;"】"&amp;AJ4))</f>
        <v/>
      </c>
      <c r="AM4" s="71">
        <f t="shared" ref="AM4:AM67" si="5">IF(AQ4="","",AQ4*10+H4)</f>
        <v>211</v>
      </c>
      <c r="AN4" s="71">
        <f>IF(OR(COUNTBLANK(AQ4)=1,ISERROR(AQ4)),"",COUNT(AQ4:AQ4))</f>
        <v>1</v>
      </c>
      <c r="AO4" s="7" t="str">
        <f t="shared" ref="AO4:AO67" si="6">IF(AQ4&gt;20,"ナビ・","1・2年のナビ・")</f>
        <v>ナビ・</v>
      </c>
      <c r="AP4" s="1" t="str">
        <f>IF(ISERROR(INDEX(C4:C8,MATCH(H4,D4:D8,0))),"",INDEX(C4:C8,MATCH(H4,D4:D8,0)))</f>
        <v/>
      </c>
      <c r="AQ4" s="89">
        <f>Q2</f>
        <v>21</v>
      </c>
      <c r="AR4" s="1" t="str">
        <f>IF(AQ4="","",VLOOKUP(AQ4,S4:U53,3,0))</f>
        <v>p.2～p.3</v>
      </c>
      <c r="AS4" s="8" t="str">
        <f t="shared" ref="AS4:AS67" si="7">IF(ISERROR(IF(COUNTIF(AP4:AR4,"")&gt;=1,"",AO4&amp;AP4&amp;"【"&amp;IF(AQ4&gt;20,AQ4-20,AQ4)&amp;"】"&amp;AR4)),"",IF(COUNTIF(AP4:AR4,"")&gt;=1,"",AO4&amp;AP4&amp;"【"&amp;IF(AQ4&gt;20,AQ4-20,AQ4)&amp;"】"&amp;AR4))</f>
        <v/>
      </c>
      <c r="AU4" s="71">
        <f t="shared" ref="AU4:AU67" si="8">IF(AY4="","",AY4*10+I4)</f>
        <v>211</v>
      </c>
      <c r="AV4" s="71">
        <f>IF(OR(COUNTBLANK(AY4)=1,ISERROR(AY4)),"",COUNT(AY4:AY4))</f>
        <v>1</v>
      </c>
      <c r="AW4" s="7" t="str">
        <f t="shared" ref="AW4:AW67" si="9">IF(AY4&gt;20,"ナビ・","1・2年のナビ・")</f>
        <v>ナビ・</v>
      </c>
      <c r="AX4" s="74" t="str">
        <f>IF(ISERROR(INDEX(C4:C8,MATCH(I4,D4:D8,0))),"",INDEX(C4:C8,MATCH(I4,D4:D8,0)))</f>
        <v/>
      </c>
      <c r="AY4" s="89">
        <f>Q2</f>
        <v>21</v>
      </c>
      <c r="AZ4" s="76" t="str">
        <f>IF(AY4="","",VLOOKUP(AY4,S4:U53,3,0))</f>
        <v>p.2～p.3</v>
      </c>
      <c r="BA4" s="8" t="str">
        <f t="shared" ref="BA4:BA67" si="10">IF(ISERROR(IF(COUNTIF(AX4:AZ4,"")&gt;=1,"",AW4&amp;AX4&amp;"【"&amp;IF(AY4&gt;20,AY4-20,AY4)&amp;"】"&amp;AZ4)),"",IF(COUNTIF(AX4:AZ4,"")&gt;=1,"",AW4&amp;AX4&amp;"【"&amp;IF(AY4&gt;20,AY4-20,AY4)&amp;"】"&amp;AZ4))</f>
        <v/>
      </c>
      <c r="BC4" s="71">
        <f t="shared" ref="BC4:BC67" si="11">IF(BG4="","",BG4*10+J4)</f>
        <v>211</v>
      </c>
      <c r="BD4" s="71">
        <f>IF(OR(COUNTBLANK(BG4)=1,ISERROR(BG4)),"",COUNT(BG4:BG4))</f>
        <v>1</v>
      </c>
      <c r="BE4" s="7" t="str">
        <f t="shared" ref="BE4:BE67" si="12">IF(BG4&gt;20,"ナビ・","1・2年のナビ・")</f>
        <v>ナビ・</v>
      </c>
      <c r="BF4" s="74" t="str">
        <f>IF(ISERROR(INDEX(C4:C8,MATCH(J4,D4:D8,0))),"",INDEX(C4:C8,MATCH(J4,D4:D8,0)))</f>
        <v/>
      </c>
      <c r="BG4" s="89">
        <f>Q2</f>
        <v>21</v>
      </c>
      <c r="BH4" s="76" t="str">
        <f>IF(BG4="","",VLOOKUP(BG4,S4:U53,3,0))</f>
        <v>p.2～p.3</v>
      </c>
      <c r="BI4" s="8" t="str">
        <f t="shared" ref="BI4:BI67" si="13">IF(ISERROR(IF(COUNTIF(BF4:BH4,"")&gt;=1,"",BE4&amp;BF4&amp;"【"&amp;IF(BG4&gt;20,BG4-20,BG4)&amp;"】"&amp;BH4)),"",IF(COUNTIF(BF4:BH4,"")&gt;=1,"",BE4&amp;BF4&amp;"【"&amp;IF(BG4&gt;20,BG4-20,BG4)&amp;"】"&amp;BH4))</f>
        <v/>
      </c>
      <c r="BL4" s="113">
        <v>1</v>
      </c>
      <c r="BM4" s="114">
        <v>1</v>
      </c>
      <c r="BN4" s="114" t="s">
        <v>121</v>
      </c>
      <c r="BP4" s="71">
        <f>IF(BT4="","",BT4*10+1)</f>
        <v>211</v>
      </c>
      <c r="BQ4" s="71">
        <f>IF(OR(COUNTBLANK(BT4)=1,ISERROR(BT4)),"",COUNT(BT4:BT4))</f>
        <v>1</v>
      </c>
      <c r="BR4" s="7" t="str">
        <f>IF(BT4&gt;25,"ナビ・","1・2年のWナビ・")</f>
        <v>1・2年のWナビ・</v>
      </c>
      <c r="BS4" s="1" t="str">
        <f>IF(ISERROR(INDEX($C$4:$C$8,MATCH(F4,$D$4:$D$8,0))),"",INDEX($C$4:$C$8,MATCH(F4,$D$4:$D$8,0)))</f>
        <v/>
      </c>
      <c r="BT4" s="78">
        <f>Q2</f>
        <v>21</v>
      </c>
      <c r="BU4" s="1" t="str">
        <f>IF(BT4="","",VLOOKUP(BT4,$BL$4:$BN$58,3,0))</f>
        <v>p.76～p.79</v>
      </c>
      <c r="BV4" s="8" t="str">
        <f>IF(ISERROR(IF(COUNTIF(BS4:BU4,"")&gt;=1,"",BR4&amp;BS4&amp;"【"&amp;VLOOKUP(BT4,$BL$4:$BN$58,2,0)&amp;"】"&amp;BU4)),"",IF(COUNTIF(BS4:BU4,"")&gt;=1,"",BR4&amp;BS4&amp;"【"&amp;VLOOKUP(BT4,$BL$4:$BN$58,2,0)&amp;"】"&amp;BU4))</f>
        <v/>
      </c>
      <c r="BX4" s="71">
        <f>IF(CB4="","",CB4*10+G4)</f>
        <v>211</v>
      </c>
      <c r="BY4" s="71">
        <f>IF(OR(COUNTBLANK(CB4)=1,ISERROR(CB4)),"",COUNT($CB$4:CB4))</f>
        <v>1</v>
      </c>
      <c r="BZ4" s="7" t="str">
        <f>IF(CB4&gt;25,"ナビ・","1・2年のWナビ・")</f>
        <v>1・2年のWナビ・</v>
      </c>
      <c r="CA4" s="1" t="str">
        <f>IF(ISERROR(INDEX($C$4:$C$8,MATCH(G4,$D$4:$D$8,0))),"",INDEX($C$4:$C$8,MATCH(G4,$D$4:$D$8,0)))</f>
        <v/>
      </c>
      <c r="CB4" s="89">
        <f>$Q$2</f>
        <v>21</v>
      </c>
      <c r="CC4" s="1" t="str">
        <f>IF(CB4="","",VLOOKUP(CB4,$BL$4:$BN$58,3,0))</f>
        <v>p.76～p.79</v>
      </c>
      <c r="CD4" s="8" t="str">
        <f>IF(ISERROR(IF(COUNTIF(CA4:CC4,"")&gt;=1,"",BZ4&amp;CA4&amp;"【"&amp;VLOOKUP(CB4,$BL$4:$BN$58,2,0)&amp;"】"&amp;CC4)),"",IF(COUNTIF(CA4:CC4,"")&gt;=1,"",BZ4&amp;CA4&amp;"【"&amp;VLOOKUP(CB4,$BL$4:$BN$58,2,0)&amp;"】"&amp;CC4))</f>
        <v/>
      </c>
      <c r="CF4" s="71">
        <f>IF(CJ4="","",CJ4*10+H4)</f>
        <v>211</v>
      </c>
      <c r="CG4" s="71">
        <f>IF(OR(COUNTBLANK(CJ4)=1,ISERROR(CJ4)),"",COUNT($CJ$4:CJ4))</f>
        <v>1</v>
      </c>
      <c r="CH4" s="7" t="str">
        <f>IF(CJ4&gt;25,"ナビ・","1・2年のWナビ・")</f>
        <v>1・2年のWナビ・</v>
      </c>
      <c r="CI4" s="1" t="str">
        <f>IF(ISERROR(INDEX($C$4:$C$8,MATCH(H4,$D$4:$D$8,0))),"",INDEX($C$4:$C$8,MATCH(H4,$D$4:$D$8,0)))</f>
        <v/>
      </c>
      <c r="CJ4" s="89">
        <f>Q2</f>
        <v>21</v>
      </c>
      <c r="CK4" s="1" t="str">
        <f>IF(CJ4="","",VLOOKUP(CJ4,$BL$4:$BN$58,3,0))</f>
        <v>p.76～p.79</v>
      </c>
      <c r="CL4" s="8" t="str">
        <f>IF(ISERROR(IF(COUNTIF(CI4:CK4,"")&gt;=1,"",CH4&amp;CI4&amp;"【"&amp;VLOOKUP(CJ4,$BL$4:$BN$58,2,0)&amp;"】"&amp;CK4)),"",IF(COUNTIF(CI4:CK4,"")&gt;=1,"",CH4&amp;CI4&amp;"【"&amp;VLOOKUP(CJ4,$BL$4:$BN$58,2,0)&amp;"】"&amp;CK4))</f>
        <v/>
      </c>
      <c r="CN4" s="71">
        <f>IF(CR4="","",CR4*10+I4)</f>
        <v>211</v>
      </c>
      <c r="CO4" s="71">
        <f>IF(OR(COUNTBLANK(CR4)=1,ISERROR(CR4)),"",COUNT($CR$4:CR4))</f>
        <v>1</v>
      </c>
      <c r="CP4" s="7" t="str">
        <f>IF(CR4&gt;25,"ナビ・","1・2年のWナビ・")</f>
        <v>1・2年のWナビ・</v>
      </c>
      <c r="CQ4" s="1" t="str">
        <f>IF(ISERROR(INDEX($C$4:$C$8,MATCH(I4,$D$4:$D$8,0))),"",INDEX($C$4:$C$8,MATCH(I4,$D$4:$D$8,0)))</f>
        <v/>
      </c>
      <c r="CR4" s="89">
        <f>Q2</f>
        <v>21</v>
      </c>
      <c r="CS4" s="1" t="str">
        <f>IF(CR4="","",VLOOKUP(CR4,$BL$4:$BN$58,3,0))</f>
        <v>p.76～p.79</v>
      </c>
      <c r="CT4" s="8" t="str">
        <f>IF(ISERROR(IF(COUNTIF(CQ4:CS4,"")&gt;=1,"",CP4&amp;CQ4&amp;"【"&amp;VLOOKUP(CR4,$BL$4:$BN$58,2,0)&amp;"】"&amp;CS4)),"",IF(COUNTIF(CQ4:CS4,"")&gt;=1,"",CP4&amp;CQ4&amp;"【"&amp;VLOOKUP(CR4,$BL$4:$BN$58,2,0)&amp;"】"&amp;CS4))</f>
        <v/>
      </c>
      <c r="CV4" s="71">
        <f>IF(CZ4="","",CZ4*10+J4)</f>
        <v>211</v>
      </c>
      <c r="CW4" s="71">
        <f>IF(OR(COUNTBLANK(CZ4)=1,ISERROR(CZ4)),"",COUNT($CZ$4:CZ4))</f>
        <v>1</v>
      </c>
      <c r="CX4" s="7" t="str">
        <f>IF(CZ4&gt;25,"ナビ・","1・2年のWナビ・")</f>
        <v>1・2年のWナビ・</v>
      </c>
      <c r="CY4" s="1" t="str">
        <f>IF(ISERROR(INDEX($C$4:$C$8,MATCH(J4,$D$4:$D$8,0))),"",INDEX($C$4:$C$8,MATCH(J4,$D$4:$D$8,0)))</f>
        <v/>
      </c>
      <c r="CZ4" s="89">
        <f>Q2</f>
        <v>21</v>
      </c>
      <c r="DA4" s="1" t="str">
        <f>IF(CZ4="","",VLOOKUP(CZ4,$BL$4:$BN$58,3,0))</f>
        <v>p.76～p.79</v>
      </c>
      <c r="DB4" s="8" t="str">
        <f>IF(ISERROR(IF(COUNTIF(CY4:DA4,"")&gt;=1,"",CX4&amp;CY4&amp;"【"&amp;VLOOKUP(CZ4,$BL$4:$BN$58,2,0)&amp;"】"&amp;DA4)),"",IF(COUNTIF(CY4:DA4,"")&gt;=1,"",CX4&amp;CY4&amp;"【"&amp;VLOOKUP(CZ4,$BL$4:$BN$58,2,0)&amp;"】"&amp;DA4))</f>
        <v/>
      </c>
    </row>
    <row r="5" spans="2:106" x14ac:dyDescent="0.15">
      <c r="C5" s="2" t="str">
        <f>IF(設定入力!B11="","",設定入力!B11)</f>
        <v>社会</v>
      </c>
      <c r="D5" s="2">
        <f>IF(C5="","",INDEX(設定入力!$C$10:$C$14,MATCH(項目順ﾃﾞｰﾀｴﾘｱ!C5,項目順ﾃﾞｰﾀｴﾘｱ!$C$4:$C$8,0)))</f>
        <v>0</v>
      </c>
      <c r="E5" s="1">
        <v>2</v>
      </c>
      <c r="F5" s="1">
        <f>IF(F4+1&gt;MAX($D$4:$D$8),1,F4+1)</f>
        <v>1</v>
      </c>
      <c r="G5" s="91">
        <v>1</v>
      </c>
      <c r="H5" s="91">
        <v>1</v>
      </c>
      <c r="I5" s="91">
        <v>1</v>
      </c>
      <c r="J5" s="91">
        <v>1</v>
      </c>
      <c r="L5" s="1" t="str">
        <f>IF(ISERROR(HLOOKUP($C$10,$F$3:$J$253,3,0)),"",HLOOKUP($C$10,$F$3:$J$253,3,0))</f>
        <v/>
      </c>
      <c r="M5" s="81" t="str">
        <f>IF(設定入力!E6="","",設定入力!E6)</f>
        <v/>
      </c>
      <c r="O5" s="6" t="str">
        <f>IF(設定入力!$E$1=2,IF(OR(M5=0,M5="",COUNT($M$1)=0),"",IF($M$1+SUM($M$4:M4)&gt;$Q$1,"",$M$1+SUM($M$4:M4))),IF(OR(M5=0,M5="",COUNT($M$2)=0),"",IF($M$2+SUM($M$4:M4)&gt;$Q$1,"",$M$2+SUM($M$4:M4))))</f>
        <v/>
      </c>
      <c r="P5" s="4" t="str">
        <f t="shared" ref="P5:P34" si="14">IF(O5="","",IF(M5&gt;=2,IF(O5+1&gt;$Q$1,"",O5+1),""))</f>
        <v/>
      </c>
      <c r="Q5" s="4" t="str">
        <f t="shared" ref="Q5:Q34" si="15">IF(O5="","",IF(M5=3,IF(O5+2&gt;$Q$1,"",O5+2),""))</f>
        <v/>
      </c>
      <c r="S5" s="9">
        <v>2</v>
      </c>
      <c r="T5" s="1">
        <v>2</v>
      </c>
      <c r="U5" s="1" t="s">
        <v>16</v>
      </c>
      <c r="W5" s="71">
        <f t="shared" ref="W5:W32" si="16">IF(AA5="","",AA5*10+F5)</f>
        <v>221</v>
      </c>
      <c r="X5" s="71">
        <f>IF(OR(COUNTBLANK(AA5)=1,ISERROR(AA5)),"",COUNT(AA4:AA5))</f>
        <v>2</v>
      </c>
      <c r="Y5" s="7" t="str">
        <f t="shared" si="0"/>
        <v>ナビ・</v>
      </c>
      <c r="Z5" s="1" t="str">
        <f t="shared" ref="Z5:Z68" si="17">IF(ISERROR(INDEX($C$4:$C$8,MATCH(F5,$D$4:$D$8,0))),"",INDEX($C$4:$C$8,MATCH(F5,$D$4:$D$8,0)))</f>
        <v/>
      </c>
      <c r="AA5" s="79">
        <f>IF(IF(COUNTIF(AA4:AA4,AA4)&gt;=MAX(D4:D8),AA4+1,AA4)&gt;50,"",IF(COUNTIF(AA4:AA4,AA4)&gt;=MAX(D4:D8),AA4+1,AA4))</f>
        <v>22</v>
      </c>
      <c r="AB5" s="1" t="str">
        <f>IF(AA5="","",VLOOKUP(AA5,S4:U53,3,0))</f>
        <v>p.4～p.5</v>
      </c>
      <c r="AC5" s="8" t="str">
        <f t="shared" si="1"/>
        <v/>
      </c>
      <c r="AE5" s="71">
        <f t="shared" si="2"/>
        <v>221</v>
      </c>
      <c r="AF5" s="71">
        <f>IF(OR(COUNTBLANK(AI5)=1,ISERROR(AI5)),"",COUNT(AI4:AI5))</f>
        <v>2</v>
      </c>
      <c r="AG5" s="7" t="str">
        <f t="shared" si="3"/>
        <v>ナビ・</v>
      </c>
      <c r="AH5" s="1" t="str">
        <f>IF(ISERROR(INDEX(C4:C8,MATCH(G5,D4:D8,0))),"",INDEX(C4:C8,MATCH(G5,D4:D8,0)))</f>
        <v/>
      </c>
      <c r="AI5" s="90">
        <f>IF(AI4+1&gt;50,"",AI4+1)</f>
        <v>22</v>
      </c>
      <c r="AJ5" s="1" t="str">
        <f>IF(AI5="","",VLOOKUP(AI5,S4:U53,3,0))</f>
        <v>p.4～p.5</v>
      </c>
      <c r="AK5" s="8" t="str">
        <f t="shared" si="4"/>
        <v/>
      </c>
      <c r="AM5" s="71">
        <f t="shared" si="5"/>
        <v>221</v>
      </c>
      <c r="AN5" s="71">
        <f>IF(OR(COUNTBLANK(AQ5)=1,ISERROR(AQ5)),"",COUNT(AQ4:AQ5))</f>
        <v>2</v>
      </c>
      <c r="AO5" s="7" t="str">
        <f t="shared" si="6"/>
        <v>ナビ・</v>
      </c>
      <c r="AP5" s="1" t="str">
        <f>IF(ISERROR(INDEX(C4:C8,MATCH(H5,D4:D8,0))),"",INDEX(C4:C8,MATCH(H5,D4:D8,0)))</f>
        <v/>
      </c>
      <c r="AQ5" s="90">
        <f>IF(AQ4+1&gt;50,"",AQ4+1)</f>
        <v>22</v>
      </c>
      <c r="AR5" s="1" t="str">
        <f>IF(AQ5="","",VLOOKUP(AQ5,S4:U53,3,0))</f>
        <v>p.4～p.5</v>
      </c>
      <c r="AS5" s="8" t="str">
        <f t="shared" si="7"/>
        <v/>
      </c>
      <c r="AU5" s="71">
        <f t="shared" si="8"/>
        <v>221</v>
      </c>
      <c r="AV5" s="71">
        <f>IF(OR(COUNTBLANK(AY5)=1,ISERROR(AY5)),"",COUNT(AY4:AY5))</f>
        <v>2</v>
      </c>
      <c r="AW5" s="7" t="str">
        <f t="shared" si="9"/>
        <v>ナビ・</v>
      </c>
      <c r="AX5" s="74" t="str">
        <f>IF(ISERROR(INDEX(C4:C8,MATCH(I5,D4:D8,0))),"",INDEX(C4:C8,MATCH(I5,D4:D8,0)))</f>
        <v/>
      </c>
      <c r="AY5" s="90">
        <f>IF(AY4+1&gt;50,"",AY4+1)</f>
        <v>22</v>
      </c>
      <c r="AZ5" s="76" t="str">
        <f>IF(AY5="","",VLOOKUP(AY5,S4:U53,3,0))</f>
        <v>p.4～p.5</v>
      </c>
      <c r="BA5" s="8" t="str">
        <f t="shared" si="10"/>
        <v/>
      </c>
      <c r="BC5" s="71">
        <f t="shared" si="11"/>
        <v>221</v>
      </c>
      <c r="BD5" s="71">
        <f>IF(OR(COUNTBLANK(BG5)=1,ISERROR(BG5)),"",COUNT(BG4:BG5))</f>
        <v>2</v>
      </c>
      <c r="BE5" s="7" t="str">
        <f t="shared" si="12"/>
        <v>ナビ・</v>
      </c>
      <c r="BF5" s="74" t="str">
        <f>IF(ISERROR(INDEX(C4:C8,MATCH(J5,D4:D8,0))),"",INDEX(C4:C8,MATCH(J5,D4:D8,0)))</f>
        <v/>
      </c>
      <c r="BG5" s="90">
        <f>IF(BG4+1&gt;50,"",BG4+1)</f>
        <v>22</v>
      </c>
      <c r="BH5" s="76" t="str">
        <f>IF(BG5="","",VLOOKUP(BG5,S4:U53,3,0))</f>
        <v>p.4～p.5</v>
      </c>
      <c r="BI5" s="8" t="str">
        <f t="shared" si="13"/>
        <v/>
      </c>
      <c r="BL5" s="113">
        <v>2</v>
      </c>
      <c r="BM5" s="114">
        <v>2</v>
      </c>
      <c r="BN5" s="114" t="s">
        <v>122</v>
      </c>
      <c r="BP5" s="71">
        <f>IF(BT5="","",BT5*10+2)</f>
        <v>222</v>
      </c>
      <c r="BQ5" s="71">
        <f>IF(OR(COUNTBLANK(BT5)=1,ISERROR(BT5)),"",COUNT(BT4:BT5))</f>
        <v>2</v>
      </c>
      <c r="BR5" s="7" t="str">
        <f t="shared" ref="BR5:BR68" si="18">IF(BT5&gt;25,"ナビ・","1・2年のWナビ・")</f>
        <v>1・2年のWナビ・</v>
      </c>
      <c r="BS5" s="1" t="str">
        <f t="shared" ref="BS5:BS68" si="19">IF(ISERROR(INDEX($C$4:$C$8,MATCH(F5,$D$4:$D$8,0))),"",INDEX($C$4:$C$8,MATCH(F5,$D$4:$D$8,0)))</f>
        <v/>
      </c>
      <c r="BT5" s="79">
        <f>IF(IF(COUNTIF($BT$4:BT4,BT4)&gt;=MAX($D$4:$D$8),BT4+1,BT4)&gt;55,"",IF(COUNTIF($BT$4:BT4,BT4)&gt;=MAX($D$4:$D$8),BT4+1,BT4))</f>
        <v>22</v>
      </c>
      <c r="BU5" s="1" t="str">
        <f t="shared" ref="BU5:BU68" si="20">IF(BT5="","",VLOOKUP(BT5,$BL$4:$BN$58,3,0))</f>
        <v>p.80～p.83</v>
      </c>
      <c r="BV5" s="8" t="str">
        <f t="shared" ref="BV5:BV68" si="21">IF(ISERROR(IF(COUNTIF(BS5:BU5,"")&gt;=1,"",BR5&amp;BS5&amp;"【"&amp;VLOOKUP(BT5,$BL$4:$BN$58,2,0)&amp;"】"&amp;BU5)),"",IF(COUNTIF(BS5:BU5,"")&gt;=1,"",BR5&amp;BS5&amp;"【"&amp;VLOOKUP(BT5,$BL$4:$BN$58,2,0)&amp;"】"&amp;BU5))</f>
        <v/>
      </c>
      <c r="BX5" s="71">
        <f t="shared" ref="BX5:BX68" si="22">IF(CB5="","",CB5*10+G5)</f>
        <v>221</v>
      </c>
      <c r="BY5" s="71">
        <f>IF(OR(COUNTBLANK(CB5)=1,ISERROR(CB5)),"",COUNT($CB$4:CB5))</f>
        <v>2</v>
      </c>
      <c r="BZ5" s="7" t="str">
        <f t="shared" ref="BZ5:BZ68" si="23">IF(CB5&gt;25,"ナビ・","1・2年のWナビ・")</f>
        <v>1・2年のWナビ・</v>
      </c>
      <c r="CA5" s="1" t="str">
        <f t="shared" ref="CA5:CA68" si="24">IF(ISERROR(INDEX($C$4:$C$8,MATCH(G5,$D$4:$D$8,0))),"",INDEX($C$4:$C$8,MATCH(G5,$D$4:$D$8,0)))</f>
        <v/>
      </c>
      <c r="CB5" s="90">
        <f>IF(CB4+1&gt;50,"",CB4+1)</f>
        <v>22</v>
      </c>
      <c r="CC5" s="1" t="str">
        <f t="shared" ref="CC5:CC68" si="25">IF(CB5="","",VLOOKUP(CB5,$BL$4:$BN$58,3,0))</f>
        <v>p.80～p.83</v>
      </c>
      <c r="CD5" s="8" t="str">
        <f t="shared" ref="CD5:CD68" si="26">IF(ISERROR(IF(COUNTIF(CA5:CC5,"")&gt;=1,"",BZ5&amp;CA5&amp;"【"&amp;VLOOKUP(CB5,$BL$4:$BN$58,2,0)&amp;"】"&amp;CC5)),"",IF(COUNTIF(CA5:CC5,"")&gt;=1,"",BZ5&amp;CA5&amp;"【"&amp;VLOOKUP(CB5,$BL$4:$BN$58,2,0)&amp;"】"&amp;CC5))</f>
        <v/>
      </c>
      <c r="CF5" s="71">
        <f t="shared" ref="CF5:CF7" si="27">IF(CJ5="","",CJ5*10+H5)</f>
        <v>221</v>
      </c>
      <c r="CG5" s="71">
        <f>IF(OR(COUNTBLANK(CJ5)=1,ISERROR(CJ5)),"",COUNT($CJ$4:CJ5))</f>
        <v>2</v>
      </c>
      <c r="CH5" s="7" t="str">
        <f t="shared" ref="CH5:CH7" si="28">IF(CJ5&gt;25,"ナビ・","1・2年のWナビ・")</f>
        <v>1・2年のWナビ・</v>
      </c>
      <c r="CI5" s="1" t="str">
        <f t="shared" ref="CI5:CI7" si="29">IF(ISERROR(INDEX($C$4:$C$8,MATCH(H5,$D$4:$D$8,0))),"",INDEX($C$4:$C$8,MATCH(H5,$D$4:$D$8,0)))</f>
        <v/>
      </c>
      <c r="CJ5" s="90">
        <f>IF(CJ4+1&gt;55,"",CJ4+1)</f>
        <v>22</v>
      </c>
      <c r="CK5" s="1" t="str">
        <f t="shared" ref="CK5:CK68" si="30">IF(CJ5="","",VLOOKUP(CJ5,$BL$4:$BN$58,3,0))</f>
        <v>p.80～p.83</v>
      </c>
      <c r="CL5" s="8" t="str">
        <f t="shared" ref="CL5:CL7" si="31">IF(ISERROR(IF(COUNTIF(CI5:CK5,"")&gt;=1,"",CH5&amp;CI5&amp;"【"&amp;VLOOKUP(CJ5,$BL$4:$BN$58,2,0)&amp;"】"&amp;CK5)),"",IF(COUNTIF(CI5:CK5,"")&gt;=1,"",CH5&amp;CI5&amp;"【"&amp;VLOOKUP(CJ5,$BL$4:$BN$58,2,0)&amp;"】"&amp;CK5))</f>
        <v/>
      </c>
      <c r="CN5" s="71">
        <f t="shared" ref="CN5:CN8" si="32">IF(CR5="","",CR5*10+I5)</f>
        <v>221</v>
      </c>
      <c r="CO5" s="71">
        <f>IF(OR(COUNTBLANK(CR5)=1,ISERROR(CR5)),"",COUNT($CR$4:CR5))</f>
        <v>2</v>
      </c>
      <c r="CP5" s="7" t="str">
        <f t="shared" ref="CP5:CP8" si="33">IF(CR5&gt;25,"ナビ・","1・2年のWナビ・")</f>
        <v>1・2年のWナビ・</v>
      </c>
      <c r="CQ5" s="1" t="str">
        <f t="shared" ref="CQ5:CQ8" si="34">IF(ISERROR(INDEX($C$4:$C$8,MATCH(I5,$D$4:$D$8,0))),"",INDEX($C$4:$C$8,MATCH(I5,$D$4:$D$8,0)))</f>
        <v/>
      </c>
      <c r="CR5" s="90">
        <f>IF(AY4+1&gt;50,"",AY4+1)</f>
        <v>22</v>
      </c>
      <c r="CS5" s="1" t="str">
        <f t="shared" ref="CS5:CS68" si="35">IF(CR5="","",VLOOKUP(CR5,$BL$4:$BN$58,3,0))</f>
        <v>p.80～p.83</v>
      </c>
      <c r="CT5" s="8" t="str">
        <f t="shared" ref="CT5:CT8" si="36">IF(ISERROR(IF(COUNTIF(CQ5:CS5,"")&gt;=1,"",CP5&amp;CQ5&amp;"【"&amp;VLOOKUP(CR5,$BL$4:$BN$58,2,0)&amp;"】"&amp;CS5)),"",IF(COUNTIF(CQ5:CS5,"")&gt;=1,"",CP5&amp;CQ5&amp;"【"&amp;VLOOKUP(CR5,$BL$4:$BN$58,2,0)&amp;"】"&amp;CS5))</f>
        <v/>
      </c>
      <c r="CV5" s="71">
        <f t="shared" ref="CV5:CV9" si="37">IF(CZ5="","",CZ5*10+J5)</f>
        <v>221</v>
      </c>
      <c r="CW5" s="71">
        <f>IF(OR(COUNTBLANK(CZ5)=1,ISERROR(CZ5)),"",COUNT($CZ$4:CZ5))</f>
        <v>2</v>
      </c>
      <c r="CX5" s="7" t="str">
        <f t="shared" ref="CX5:CX9" si="38">IF(CZ5&gt;25,"ナビ・","1・2年のWナビ・")</f>
        <v>1・2年のWナビ・</v>
      </c>
      <c r="CY5" s="1" t="str">
        <f t="shared" ref="CY5:CY9" si="39">IF(ISERROR(INDEX($C$4:$C$8,MATCH(J5,$D$4:$D$8,0))),"",INDEX($C$4:$C$8,MATCH(J5,$D$4:$D$8,0)))</f>
        <v/>
      </c>
      <c r="CZ5" s="90">
        <f>IF(CZ4+1&gt;55,"",CZ4+1)</f>
        <v>22</v>
      </c>
      <c r="DA5" s="1" t="str">
        <f t="shared" ref="DA5:DA68" si="40">IF(CZ5="","",VLOOKUP(CZ5,$BL$4:$BN$58,3,0))</f>
        <v>p.80～p.83</v>
      </c>
      <c r="DB5" s="8" t="str">
        <f t="shared" ref="DB5:DB9" si="41">IF(ISERROR(IF(COUNTIF(CY5:DA5,"")&gt;=1,"",CX5&amp;CY5&amp;"【"&amp;VLOOKUP(CZ5,$BL$4:$BN$58,2,0)&amp;"】"&amp;DA5)),"",IF(COUNTIF(CY5:DA5,"")&gt;=1,"",CX5&amp;CY5&amp;"【"&amp;VLOOKUP(CZ5,$BL$4:$BN$58,2,0)&amp;"】"&amp;DA5))</f>
        <v/>
      </c>
    </row>
    <row r="6" spans="2:106" x14ac:dyDescent="0.15">
      <c r="C6" s="2" t="str">
        <f>IF(設定入力!B12="","",設定入力!B12)</f>
        <v>数学</v>
      </c>
      <c r="D6" s="2">
        <f>IF(C6="","",INDEX(設定入力!$C$10:$C$14,MATCH(項目順ﾃﾞｰﾀｴﾘｱ!C6,項目順ﾃﾞｰﾀｴﾘｱ!$C$4:$C$8,0)))</f>
        <v>0</v>
      </c>
      <c r="E6" s="1">
        <v>3</v>
      </c>
      <c r="F6" s="1">
        <f t="shared" ref="F6:F69" si="42">IF(F5+1&gt;MAX($D$4:$D$8),1,F5+1)</f>
        <v>1</v>
      </c>
      <c r="G6" s="1">
        <f t="shared" ref="G6:G13" si="43">IF(G4+1&gt;MAX($D$4:$D$8),1,G4+1)</f>
        <v>1</v>
      </c>
      <c r="H6" s="91">
        <v>1</v>
      </c>
      <c r="I6" s="91">
        <v>1</v>
      </c>
      <c r="J6" s="91">
        <v>1</v>
      </c>
      <c r="L6" s="1" t="str">
        <f>IF(ISERROR(HLOOKUP($C$10,$F$3:$J$253,4,0)),"",HLOOKUP($C$10,$F$3:$J$253,4,0))</f>
        <v/>
      </c>
      <c r="M6" s="81" t="str">
        <f>IF(設定入力!E7="","",設定入力!E7)</f>
        <v/>
      </c>
      <c r="O6" s="6" t="str">
        <f>IF(設定入力!$E$1=2,IF(OR(M6=0,M6="",COUNT($M$1)=0),"",IF($M$1+SUM($M$4:M5)&gt;$Q$1,"",$M$1+SUM($M$4:M5))),IF(OR(M6=0,M6="",COUNT($M$2)=0),"",IF($M$2+SUM($M$4:M5)&gt;$Q$1,"",$M$2+SUM($M$4:M5))))</f>
        <v/>
      </c>
      <c r="P6" s="4" t="str">
        <f t="shared" si="14"/>
        <v/>
      </c>
      <c r="Q6" s="4" t="str">
        <f t="shared" si="15"/>
        <v/>
      </c>
      <c r="S6" s="9">
        <v>3</v>
      </c>
      <c r="T6" s="1">
        <v>3</v>
      </c>
      <c r="U6" s="1" t="s">
        <v>17</v>
      </c>
      <c r="W6" s="71">
        <f t="shared" si="16"/>
        <v>231</v>
      </c>
      <c r="X6" s="71">
        <f>IF(OR(COUNTBLANK(AA6)=1,ISERROR(AA6)),"",COUNT(AA4:AA6))</f>
        <v>3</v>
      </c>
      <c r="Y6" s="7" t="str">
        <f t="shared" si="0"/>
        <v>ナビ・</v>
      </c>
      <c r="Z6" s="1" t="str">
        <f t="shared" si="17"/>
        <v/>
      </c>
      <c r="AA6" s="79">
        <f>IF(IF(COUNTIF(AA4:AA5,AA5)&gt;=MAX(D4:D8),AA5+1,AA5)&gt;50,"",IF(COUNTIF(AA4:AA5,AA5)&gt;=MAX(D4:D8),AA5+1,AA5))</f>
        <v>23</v>
      </c>
      <c r="AB6" s="1" t="str">
        <f>IF(AA6="","",VLOOKUP(AA6,S4:U53,3,0))</f>
        <v>p.6～p.7</v>
      </c>
      <c r="AC6" s="8" t="str">
        <f t="shared" si="1"/>
        <v/>
      </c>
      <c r="AE6" s="71">
        <f t="shared" si="2"/>
        <v>231</v>
      </c>
      <c r="AF6" s="71">
        <f>IF(OR(COUNTBLANK(AI6)=1,ISERROR(AI6)),"",COUNT(AI4:AI6))</f>
        <v>3</v>
      </c>
      <c r="AG6" s="7" t="str">
        <f t="shared" si="3"/>
        <v>ナビ・</v>
      </c>
      <c r="AH6" s="1" t="str">
        <f>IF(ISERROR(INDEX(C4:C8,MATCH(G6,D4:D8,0))),"",INDEX(C4:C8,MATCH(G6,D4:D8,0)))</f>
        <v/>
      </c>
      <c r="AI6" s="79">
        <f>IF(IF(COUNTIF(AI4:AI5,AI4)&gt;=MAX($D$4:$D$8),AI4+2,AI4)&gt;50,"",IF(COUNTIF(AI4:AI5,AI4)&gt;=MAX($D$4:$D$8),AI4+2,AI4))</f>
        <v>23</v>
      </c>
      <c r="AJ6" s="1" t="str">
        <f>IF(AI6="","",VLOOKUP(AI6,S4:U53,3,0))</f>
        <v>p.6～p.7</v>
      </c>
      <c r="AK6" s="8" t="str">
        <f t="shared" si="4"/>
        <v/>
      </c>
      <c r="AM6" s="71">
        <f t="shared" si="5"/>
        <v>231</v>
      </c>
      <c r="AN6" s="71">
        <f>IF(OR(COUNTBLANK(AQ6)=1,ISERROR(AQ6)),"",COUNT(AQ4:AQ6))</f>
        <v>3</v>
      </c>
      <c r="AO6" s="7" t="str">
        <f t="shared" si="6"/>
        <v>ナビ・</v>
      </c>
      <c r="AP6" s="1" t="str">
        <f>IF(ISERROR(INDEX(C4:C8,MATCH(H6,D4:D8,0))),"",INDEX(C4:C8,MATCH(H6,D4:D8,0)))</f>
        <v/>
      </c>
      <c r="AQ6" s="90">
        <f>IF(AQ5+1&gt;50,"",AQ5+1)</f>
        <v>23</v>
      </c>
      <c r="AR6" s="1" t="str">
        <f>IF(AQ6="","",VLOOKUP(AQ6,S4:U53,3,0))</f>
        <v>p.6～p.7</v>
      </c>
      <c r="AS6" s="8" t="str">
        <f t="shared" si="7"/>
        <v/>
      </c>
      <c r="AU6" s="71">
        <f t="shared" si="8"/>
        <v>231</v>
      </c>
      <c r="AV6" s="71">
        <f>IF(OR(COUNTBLANK(AY6)=1,ISERROR(AY6)),"",COUNT(AY4:AY6))</f>
        <v>3</v>
      </c>
      <c r="AW6" s="7" t="str">
        <f t="shared" si="9"/>
        <v>ナビ・</v>
      </c>
      <c r="AX6" s="74" t="str">
        <f>IF(ISERROR(INDEX(C4:C8,MATCH(I6,D4:D8,0))),"",INDEX(C4:C8,MATCH(I6,D4:D8,0)))</f>
        <v/>
      </c>
      <c r="AY6" s="90">
        <f>IF(AY5+1&gt;50,"",AY5+1)</f>
        <v>23</v>
      </c>
      <c r="AZ6" s="76" t="str">
        <f>IF(AY6="","",VLOOKUP(AY6,S4:U53,3,0))</f>
        <v>p.6～p.7</v>
      </c>
      <c r="BA6" s="8" t="str">
        <f t="shared" si="10"/>
        <v/>
      </c>
      <c r="BC6" s="71">
        <f t="shared" si="11"/>
        <v>231</v>
      </c>
      <c r="BD6" s="71">
        <f>IF(OR(COUNTBLANK(BG6)=1,ISERROR(BG6)),"",COUNT(BG4:BG6))</f>
        <v>3</v>
      </c>
      <c r="BE6" s="7" t="str">
        <f t="shared" si="12"/>
        <v>ナビ・</v>
      </c>
      <c r="BF6" s="74" t="str">
        <f>IF(ISERROR(INDEX(C4:C8,MATCH(J6,D4:D8,0))),"",INDEX(C4:C8,MATCH(J6,D4:D8,0)))</f>
        <v/>
      </c>
      <c r="BG6" s="90">
        <f>IF(BG5+1&gt;50,"",BG5+1)</f>
        <v>23</v>
      </c>
      <c r="BH6" s="76" t="str">
        <f>IF(BG6="","",VLOOKUP(BG6,S4:U53,3,0))</f>
        <v>p.6～p.7</v>
      </c>
      <c r="BI6" s="8" t="str">
        <f t="shared" si="13"/>
        <v/>
      </c>
      <c r="BL6" s="113">
        <v>3</v>
      </c>
      <c r="BM6" s="114">
        <v>3</v>
      </c>
      <c r="BN6" s="114" t="s">
        <v>123</v>
      </c>
      <c r="BP6" s="71">
        <f>IF(BT6="","",BT6*10+3)</f>
        <v>233</v>
      </c>
      <c r="BQ6" s="71">
        <f>IF(OR(COUNTBLANK(BT6)=1,ISERROR(BT6)),"",COUNT(BT4:BT6))</f>
        <v>3</v>
      </c>
      <c r="BR6" s="7" t="str">
        <f t="shared" si="18"/>
        <v>1・2年のWナビ・</v>
      </c>
      <c r="BS6" s="1" t="str">
        <f t="shared" si="19"/>
        <v/>
      </c>
      <c r="BT6" s="79">
        <f>IF(IF(COUNTIF($BT$4:BT5,BT5)&gt;=MAX($D$4:$D$8),BT5+1,BT5)&gt;55,"",IF(COUNTIF($BT$4:BT5,BT5)&gt;=MAX($D$4:$D$8),BT5+1,BT5))</f>
        <v>23</v>
      </c>
      <c r="BU6" s="1" t="str">
        <f t="shared" si="20"/>
        <v>p.84～p.87</v>
      </c>
      <c r="BV6" s="8" t="str">
        <f t="shared" si="21"/>
        <v/>
      </c>
      <c r="BX6" s="71">
        <f t="shared" si="22"/>
        <v>231</v>
      </c>
      <c r="BY6" s="71">
        <f>IF(OR(COUNTBLANK(CB6)=1,ISERROR(CB6)),"",COUNT($CB$4:CB6))</f>
        <v>3</v>
      </c>
      <c r="BZ6" s="7" t="str">
        <f t="shared" si="23"/>
        <v>1・2年のWナビ・</v>
      </c>
      <c r="CA6" s="1" t="str">
        <f t="shared" si="24"/>
        <v/>
      </c>
      <c r="CB6" s="79">
        <f>IF(IF(COUNTIF($CB$4:CB5,CB4)&gt;=MAX($D$4:$D$8),CB4+2,CB4)&gt;55,"",IF(COUNTIF($CB$4:CB5,CB4)&gt;=MAX($D$4:$D$8),CB4+2,CB4))</f>
        <v>23</v>
      </c>
      <c r="CC6" s="1" t="str">
        <f t="shared" si="25"/>
        <v>p.84～p.87</v>
      </c>
      <c r="CD6" s="8" t="str">
        <f t="shared" si="26"/>
        <v/>
      </c>
      <c r="CF6" s="71">
        <f t="shared" si="27"/>
        <v>231</v>
      </c>
      <c r="CG6" s="71">
        <f>IF(OR(COUNTBLANK(CJ6)=1,ISERROR(CJ6)),"",COUNT($CJ$4:CJ6))</f>
        <v>3</v>
      </c>
      <c r="CH6" s="7" t="str">
        <f t="shared" si="28"/>
        <v>1・2年のWナビ・</v>
      </c>
      <c r="CI6" s="1" t="str">
        <f t="shared" si="29"/>
        <v/>
      </c>
      <c r="CJ6" s="90">
        <f>IF(CJ5+1&gt;55,"",CJ5+1)</f>
        <v>23</v>
      </c>
      <c r="CK6" s="1" t="str">
        <f t="shared" si="30"/>
        <v>p.84～p.87</v>
      </c>
      <c r="CL6" s="8" t="str">
        <f t="shared" si="31"/>
        <v/>
      </c>
      <c r="CN6" s="71">
        <f t="shared" si="32"/>
        <v>231</v>
      </c>
      <c r="CO6" s="71">
        <f>IF(OR(COUNTBLANK(CR6)=1,ISERROR(CR6)),"",COUNT($CR$4:CR6))</f>
        <v>3</v>
      </c>
      <c r="CP6" s="7" t="str">
        <f t="shared" si="33"/>
        <v>1・2年のWナビ・</v>
      </c>
      <c r="CQ6" s="1" t="str">
        <f t="shared" si="34"/>
        <v/>
      </c>
      <c r="CR6" s="90">
        <f>IF(AY5+1&gt;50,"",AY5+1)</f>
        <v>23</v>
      </c>
      <c r="CS6" s="1" t="str">
        <f t="shared" si="35"/>
        <v>p.84～p.87</v>
      </c>
      <c r="CT6" s="8" t="str">
        <f t="shared" si="36"/>
        <v/>
      </c>
      <c r="CV6" s="71">
        <f t="shared" si="37"/>
        <v>231</v>
      </c>
      <c r="CW6" s="71">
        <f>IF(OR(COUNTBLANK(CZ6)=1,ISERROR(CZ6)),"",COUNT($CZ$4:CZ6))</f>
        <v>3</v>
      </c>
      <c r="CX6" s="7" t="str">
        <f t="shared" si="38"/>
        <v>1・2年のWナビ・</v>
      </c>
      <c r="CY6" s="1" t="str">
        <f t="shared" si="39"/>
        <v/>
      </c>
      <c r="CZ6" s="90">
        <f t="shared" ref="CZ6:CZ8" si="44">IF(CZ5+1&gt;55,"",CZ5+1)</f>
        <v>23</v>
      </c>
      <c r="DA6" s="1" t="str">
        <f t="shared" si="40"/>
        <v>p.84～p.87</v>
      </c>
      <c r="DB6" s="8" t="str">
        <f t="shared" si="41"/>
        <v/>
      </c>
    </row>
    <row r="7" spans="2:106" x14ac:dyDescent="0.15">
      <c r="C7" s="2" t="str">
        <f>IF(設定入力!B13="","",設定入力!B13)</f>
        <v>理科</v>
      </c>
      <c r="D7" s="2">
        <f>IF(C7="","",INDEX(設定入力!$C$10:$C$14,MATCH(項目順ﾃﾞｰﾀｴﾘｱ!C7,項目順ﾃﾞｰﾀｴﾘｱ!$C$4:$C$8,0)))</f>
        <v>0</v>
      </c>
      <c r="E7" s="1">
        <v>4</v>
      </c>
      <c r="F7" s="1">
        <f t="shared" si="42"/>
        <v>1</v>
      </c>
      <c r="G7" s="1">
        <f t="shared" si="43"/>
        <v>1</v>
      </c>
      <c r="H7" s="1">
        <f>IF(H4+1&gt;MAX($D$4:$D$8),1,H4+1)</f>
        <v>1</v>
      </c>
      <c r="I7" s="91">
        <v>1</v>
      </c>
      <c r="J7" s="91">
        <v>1</v>
      </c>
      <c r="L7" s="1" t="str">
        <f>IF(ISERROR(HLOOKUP($C$10,$F$3:$J$253,5,0)),"",HLOOKUP($C$10,$F$3:$J$253,5,0))</f>
        <v/>
      </c>
      <c r="M7" s="81" t="str">
        <f>IF(設定入力!E8="","",設定入力!E8)</f>
        <v/>
      </c>
      <c r="O7" s="6" t="str">
        <f>IF(設定入力!$E$1=2,IF(OR(M7=0,M7="",COUNT($M$1)=0),"",IF($M$1+SUM($M$4:M6)&gt;$Q$1,"",$M$1+SUM($M$4:M6))),IF(OR(M7=0,M7="",COUNT($M$2)=0),"",IF($M$2+SUM($M$4:M6)&gt;$Q$1,"",$M$2+SUM($M$4:M6))))</f>
        <v/>
      </c>
      <c r="P7" s="4" t="str">
        <f t="shared" si="14"/>
        <v/>
      </c>
      <c r="Q7" s="4" t="str">
        <f t="shared" si="15"/>
        <v/>
      </c>
      <c r="S7" s="9">
        <v>4</v>
      </c>
      <c r="T7" s="1">
        <v>4</v>
      </c>
      <c r="U7" s="1" t="s">
        <v>18</v>
      </c>
      <c r="W7" s="71">
        <f t="shared" si="16"/>
        <v>241</v>
      </c>
      <c r="X7" s="71">
        <f>IF(OR(COUNTBLANK(AA7)=1,ISERROR(AA7)),"",COUNT(AA4:AA7))</f>
        <v>4</v>
      </c>
      <c r="Y7" s="7" t="str">
        <f t="shared" si="0"/>
        <v>ナビ・</v>
      </c>
      <c r="Z7" s="1" t="str">
        <f t="shared" si="17"/>
        <v/>
      </c>
      <c r="AA7" s="79">
        <f>IF(IF(COUNTIF(AA4:AA6,AA6)&gt;=MAX(D4:D8),AA6+1,AA6)&gt;50,"",IF(COUNTIF(AA4:AA6,AA6)&gt;=MAX(D4:D8),AA6+1,AA6))</f>
        <v>24</v>
      </c>
      <c r="AB7" s="1" t="str">
        <f>IF(AA7="","",VLOOKUP(AA7,S4:U53,3,0))</f>
        <v>p.8～p.9</v>
      </c>
      <c r="AC7" s="8" t="str">
        <f t="shared" si="1"/>
        <v/>
      </c>
      <c r="AE7" s="71">
        <f t="shared" si="2"/>
        <v>241</v>
      </c>
      <c r="AF7" s="71">
        <f>IF(OR(COUNTBLANK(AI7)=1,ISERROR(AI7)),"",COUNT(AI4:AI7))</f>
        <v>4</v>
      </c>
      <c r="AG7" s="7" t="str">
        <f t="shared" si="3"/>
        <v>ナビ・</v>
      </c>
      <c r="AH7" s="1" t="str">
        <f>IF(ISERROR(INDEX(C4:C8,MATCH(G7,D4:D8,0))),"",INDEX(C4:C8,MATCH(G7,D4:D8,0)))</f>
        <v/>
      </c>
      <c r="AI7" s="79">
        <f>IF(IF(COUNTIF(AI4:AI5,AI5)&gt;=MAX(D4:D8),AI5+2,AI5)&gt;50,"",IF(COUNTIF(AI4:AI5,AI5)&gt;=MAX(D4:D8),AI5+2,AI5))</f>
        <v>24</v>
      </c>
      <c r="AJ7" s="1" t="str">
        <f>IF(AI7="","",VLOOKUP(AI7,S4:U53,3,0))</f>
        <v>p.8～p.9</v>
      </c>
      <c r="AK7" s="8" t="str">
        <f t="shared" si="4"/>
        <v/>
      </c>
      <c r="AM7" s="71">
        <f t="shared" si="5"/>
        <v>241</v>
      </c>
      <c r="AN7" s="71">
        <f>IF(OR(COUNTBLANK(AQ7)=1,ISERROR(AQ7)),"",COUNT(AQ4:AQ7))</f>
        <v>4</v>
      </c>
      <c r="AO7" s="7" t="str">
        <f t="shared" si="6"/>
        <v>ナビ・</v>
      </c>
      <c r="AP7" s="1" t="str">
        <f>IF(ISERROR(INDEX(C4:C8,MATCH(H7,D4:D8,0))),"",INDEX(C4:C8,MATCH(H7,D4:D8,0)))</f>
        <v/>
      </c>
      <c r="AQ7" s="79">
        <f>IF(IF(COUNTIF(AQ4:AQ6,AQ4)&gt;=MAX(D4:D8),AQ4+3,AQ4)&gt;50,"",IF(COUNTIF(AQ4:AQ6,AQ4)&gt;=MAX(D4:D8),AQ4+3,AQ4))</f>
        <v>24</v>
      </c>
      <c r="AR7" s="1" t="str">
        <f>IF(AQ7="","",VLOOKUP(AQ7,S4:U53,3,0))</f>
        <v>p.8～p.9</v>
      </c>
      <c r="AS7" s="8" t="str">
        <f t="shared" si="7"/>
        <v/>
      </c>
      <c r="AU7" s="71">
        <f t="shared" si="8"/>
        <v>241</v>
      </c>
      <c r="AV7" s="71">
        <f>IF(OR(COUNTBLANK(AY7)=1,ISERROR(AY7)),"",COUNT(AY4:AY7))</f>
        <v>4</v>
      </c>
      <c r="AW7" s="7" t="str">
        <f t="shared" si="9"/>
        <v>ナビ・</v>
      </c>
      <c r="AX7" s="74" t="str">
        <f>IF(ISERROR(INDEX(C4:C8,MATCH(I7,D4:D8,0))),"",INDEX(C4:C8,MATCH(I7,D4:D8,0)))</f>
        <v/>
      </c>
      <c r="AY7" s="90">
        <f>IF(AY6+1&gt;50,"",AY6+1)</f>
        <v>24</v>
      </c>
      <c r="AZ7" s="76" t="str">
        <f>IF(AY7="","",VLOOKUP(AY7,S4:U53,3,0))</f>
        <v>p.8～p.9</v>
      </c>
      <c r="BA7" s="8" t="str">
        <f t="shared" si="10"/>
        <v/>
      </c>
      <c r="BC7" s="71">
        <f t="shared" si="11"/>
        <v>241</v>
      </c>
      <c r="BD7" s="71">
        <f>IF(OR(COUNTBLANK(BG7)=1,ISERROR(BG7)),"",COUNT(BG4:BG7))</f>
        <v>4</v>
      </c>
      <c r="BE7" s="7" t="str">
        <f t="shared" si="12"/>
        <v>ナビ・</v>
      </c>
      <c r="BF7" s="74" t="str">
        <f>IF(ISERROR(INDEX(C4:C8,MATCH(J7,D4:D8,0))),"",INDEX(C4:C8,MATCH(J7,D4:D8,0)))</f>
        <v/>
      </c>
      <c r="BG7" s="90">
        <f>IF(BG6+1&gt;50,"",BG6+1)</f>
        <v>24</v>
      </c>
      <c r="BH7" s="76" t="str">
        <f>IF(BG7="","",VLOOKUP(BG7,S4:U53,3,0))</f>
        <v>p.8～p.9</v>
      </c>
      <c r="BI7" s="8" t="str">
        <f t="shared" si="13"/>
        <v/>
      </c>
      <c r="BL7" s="113">
        <v>4</v>
      </c>
      <c r="BM7" s="114">
        <v>4</v>
      </c>
      <c r="BN7" s="114" t="s">
        <v>124</v>
      </c>
      <c r="BP7" s="71">
        <f>IF(BT7="","",BT7*10+4)</f>
        <v>244</v>
      </c>
      <c r="BQ7" s="71">
        <f>IF(OR(COUNTBLANK(BT7)=1,ISERROR(BT7)),"",COUNT(BT4:BT7))</f>
        <v>4</v>
      </c>
      <c r="BR7" s="7" t="str">
        <f t="shared" si="18"/>
        <v>1・2年のWナビ・</v>
      </c>
      <c r="BS7" s="1" t="str">
        <f t="shared" si="19"/>
        <v/>
      </c>
      <c r="BT7" s="79">
        <f>IF(IF(COUNTIF($BT$4:BT6,BT6)&gt;=MAX($D$4:$D$8),BT6+1,BT6)&gt;55,"",IF(COUNTIF($BT$4:BT6,BT6)&gt;=MAX($D$4:$D$8),BT6+1,BT6))</f>
        <v>24</v>
      </c>
      <c r="BU7" s="1" t="str">
        <f t="shared" si="20"/>
        <v>p.88～p.91</v>
      </c>
      <c r="BV7" s="8" t="str">
        <f t="shared" si="21"/>
        <v/>
      </c>
      <c r="BX7" s="71">
        <f t="shared" si="22"/>
        <v>241</v>
      </c>
      <c r="BY7" s="71">
        <f>IF(OR(COUNTBLANK(CB7)=1,ISERROR(CB7)),"",COUNT($CB$4:CB7))</f>
        <v>4</v>
      </c>
      <c r="BZ7" s="7" t="str">
        <f t="shared" si="23"/>
        <v>1・2年のWナビ・</v>
      </c>
      <c r="CA7" s="1" t="str">
        <f t="shared" si="24"/>
        <v/>
      </c>
      <c r="CB7" s="79">
        <f>IF(IF(COUNTIF($CB$4:CB6,CB5)&gt;=MAX($D$4:$D$8),CB5+2,CB5)&gt;55,"",IF(COUNTIF($CB$4:CB6,CB5)&gt;=MAX($D$4:$D$8),CB5+2,CB5))</f>
        <v>24</v>
      </c>
      <c r="CC7" s="1" t="str">
        <f t="shared" si="25"/>
        <v>p.88～p.91</v>
      </c>
      <c r="CD7" s="8" t="str">
        <f t="shared" si="26"/>
        <v/>
      </c>
      <c r="CF7" s="71">
        <f t="shared" si="27"/>
        <v>241</v>
      </c>
      <c r="CG7" s="71">
        <f>IF(OR(COUNTBLANK(CJ7)=1,ISERROR(CJ7)),"",COUNT($CJ$4:CJ7))</f>
        <v>4</v>
      </c>
      <c r="CH7" s="7" t="str">
        <f t="shared" si="28"/>
        <v>1・2年のWナビ・</v>
      </c>
      <c r="CI7" s="1" t="str">
        <f t="shared" si="29"/>
        <v/>
      </c>
      <c r="CJ7" s="79">
        <f>IF(IF(COUNTIF($CJ$4:CJ6,CJ4)&gt;=MAX($D$4:$D$8),CJ4+3,CJ4)&gt;55,"",IF(COUNTIF($CJ$4:CJ6,CJ4)&gt;=MAX($D$4:$D$8),CJ4+3,CJ4))</f>
        <v>24</v>
      </c>
      <c r="CK7" s="1" t="str">
        <f t="shared" si="30"/>
        <v>p.88～p.91</v>
      </c>
      <c r="CL7" s="8" t="str">
        <f t="shared" si="31"/>
        <v/>
      </c>
      <c r="CN7" s="71">
        <f t="shared" si="32"/>
        <v>241</v>
      </c>
      <c r="CO7" s="71">
        <f>IF(OR(COUNTBLANK(CR7)=1,ISERROR(CR7)),"",COUNT($CR$4:CR7))</f>
        <v>4</v>
      </c>
      <c r="CP7" s="7" t="str">
        <f t="shared" si="33"/>
        <v>1・2年のWナビ・</v>
      </c>
      <c r="CQ7" s="1" t="str">
        <f t="shared" si="34"/>
        <v/>
      </c>
      <c r="CR7" s="90">
        <f>IF(AY6+1&gt;50,"",AY6+1)</f>
        <v>24</v>
      </c>
      <c r="CS7" s="1" t="str">
        <f t="shared" si="35"/>
        <v>p.88～p.91</v>
      </c>
      <c r="CT7" s="8" t="str">
        <f t="shared" si="36"/>
        <v/>
      </c>
      <c r="CV7" s="71">
        <f t="shared" si="37"/>
        <v>241</v>
      </c>
      <c r="CW7" s="71">
        <f>IF(OR(COUNTBLANK(CZ7)=1,ISERROR(CZ7)),"",COUNT($CZ$4:CZ7))</f>
        <v>4</v>
      </c>
      <c r="CX7" s="7" t="str">
        <f t="shared" si="38"/>
        <v>1・2年のWナビ・</v>
      </c>
      <c r="CY7" s="1" t="str">
        <f t="shared" si="39"/>
        <v/>
      </c>
      <c r="CZ7" s="90">
        <f t="shared" si="44"/>
        <v>24</v>
      </c>
      <c r="DA7" s="1" t="str">
        <f t="shared" si="40"/>
        <v>p.88～p.91</v>
      </c>
      <c r="DB7" s="8" t="str">
        <f t="shared" si="41"/>
        <v/>
      </c>
    </row>
    <row r="8" spans="2:106" x14ac:dyDescent="0.15">
      <c r="C8" s="2" t="str">
        <f>IF(設定入力!B14="","",設定入力!B14)</f>
        <v>英語</v>
      </c>
      <c r="D8" s="2">
        <f>IF(C8="","",INDEX(設定入力!$C$10:$C$14,MATCH(項目順ﾃﾞｰﾀｴﾘｱ!C8,項目順ﾃﾞｰﾀｴﾘｱ!$C$4:$C$8,0)))</f>
        <v>0</v>
      </c>
      <c r="E8" s="1">
        <v>5</v>
      </c>
      <c r="F8" s="1">
        <f t="shared" si="42"/>
        <v>1</v>
      </c>
      <c r="G8" s="1">
        <f t="shared" si="43"/>
        <v>1</v>
      </c>
      <c r="H8" s="1">
        <f t="shared" ref="H8:H71" si="45">IF(H5+1&gt;MAX($D$4:$D$8),1,H5+1)</f>
        <v>1</v>
      </c>
      <c r="I8" s="1">
        <f>IF(I4+1&gt;MAX($D$4:$D$8),1,I4+1)</f>
        <v>1</v>
      </c>
      <c r="J8" s="91">
        <v>1</v>
      </c>
      <c r="L8" s="1" t="str">
        <f>IF(ISERROR(HLOOKUP($C$10,$F$3:$J$253,6,0)),"",HLOOKUP($C$10,$F$3:$J$253,6,0))</f>
        <v/>
      </c>
      <c r="M8" s="81" t="str">
        <f>IF(設定入力!E9="","",設定入力!E9)</f>
        <v/>
      </c>
      <c r="O8" s="6" t="str">
        <f>IF(設定入力!$E$1=2,IF(OR(M8=0,M8="",COUNT($M$1)=0),"",IF($M$1+SUM($M$4:M7)&gt;$Q$1,"",$M$1+SUM($M$4:M7))),IF(OR(M8=0,M8="",COUNT($M$2)=0),"",IF($M$2+SUM($M$4:M7)&gt;$Q$1,"",$M$2+SUM($M$4:M7))))</f>
        <v/>
      </c>
      <c r="P8" s="4" t="str">
        <f t="shared" si="14"/>
        <v/>
      </c>
      <c r="Q8" s="4" t="str">
        <f t="shared" si="15"/>
        <v/>
      </c>
      <c r="S8" s="9">
        <v>5</v>
      </c>
      <c r="T8" s="1">
        <v>5</v>
      </c>
      <c r="U8" s="1" t="s">
        <v>19</v>
      </c>
      <c r="W8" s="71">
        <f t="shared" si="16"/>
        <v>251</v>
      </c>
      <c r="X8" s="71">
        <f>IF(OR(COUNTBLANK(AA8)=1,ISERROR(AA8)),"",COUNT(AA4:AA8))</f>
        <v>5</v>
      </c>
      <c r="Y8" s="7" t="str">
        <f t="shared" si="0"/>
        <v>ナビ・</v>
      </c>
      <c r="Z8" s="1" t="str">
        <f t="shared" si="17"/>
        <v/>
      </c>
      <c r="AA8" s="79">
        <f>IF(IF(COUNTIF(AA4:AA7,AA7)&gt;=MAX(D4:D8),AA7+1,AA7)&gt;50,"",IF(COUNTIF(AA4:AA7,AA7)&gt;=MAX(D4:D8),AA7+1,AA7))</f>
        <v>25</v>
      </c>
      <c r="AB8" s="1" t="str">
        <f>IF(AA8="","",VLOOKUP(AA8,S4:U53,3,0))</f>
        <v>p.10～p.11</v>
      </c>
      <c r="AC8" s="8" t="str">
        <f t="shared" si="1"/>
        <v/>
      </c>
      <c r="AE8" s="71">
        <f t="shared" si="2"/>
        <v>251</v>
      </c>
      <c r="AF8" s="71">
        <f>IF(OR(COUNTBLANK(AI8)=1,ISERROR(AI8)),"",COUNT(AI4:AI8))</f>
        <v>5</v>
      </c>
      <c r="AG8" s="7" t="str">
        <f t="shared" si="3"/>
        <v>ナビ・</v>
      </c>
      <c r="AH8" s="1" t="str">
        <f>IF(ISERROR(INDEX(C4:C8,MATCH(G8,D4:D8,0))),"",INDEX(C4:C8,MATCH(G8,D4:D8,0)))</f>
        <v/>
      </c>
      <c r="AI8" s="79">
        <f>IF(IF(COUNTIF(AI4:AI7,AI6)&gt;=MAX(D4:D8),AI6+2,AI6)&gt;50,"",IF(COUNTIF(AI4:AI7,AI6)&gt;=MAX(D4:D8),AI6+2,AI6))</f>
        <v>25</v>
      </c>
      <c r="AJ8" s="1" t="str">
        <f>IF(AI8="","",VLOOKUP(AI8,S4:U53,3,0))</f>
        <v>p.10～p.11</v>
      </c>
      <c r="AK8" s="8" t="str">
        <f t="shared" si="4"/>
        <v/>
      </c>
      <c r="AM8" s="71">
        <f t="shared" si="5"/>
        <v>251</v>
      </c>
      <c r="AN8" s="71">
        <f>IF(OR(COUNTBLANK(AQ8)=1,ISERROR(AQ8)),"",COUNT(AQ4:AQ8))</f>
        <v>5</v>
      </c>
      <c r="AO8" s="7" t="str">
        <f t="shared" si="6"/>
        <v>ナビ・</v>
      </c>
      <c r="AP8" s="1" t="str">
        <f>IF(ISERROR(INDEX(C4:C8,MATCH(H8,D4:D8,0))),"",INDEX(C4:C8,MATCH(H8,D4:D8,0)))</f>
        <v/>
      </c>
      <c r="AQ8" s="79">
        <f>IF(IF(COUNTIF(AQ4:AQ7,AQ5)&gt;=MAX(D4:D8),AQ5+3,AQ5)&gt;50,"",IF(COUNTIF(AQ4:AQ7,AQ5)&gt;=MAX(D4:D8),AQ5+3,AQ5))</f>
        <v>25</v>
      </c>
      <c r="AR8" s="1" t="str">
        <f>IF(AQ8="","",VLOOKUP(AQ8,S4:U53,3,0))</f>
        <v>p.10～p.11</v>
      </c>
      <c r="AS8" s="8" t="str">
        <f t="shared" si="7"/>
        <v/>
      </c>
      <c r="AU8" s="71">
        <f t="shared" si="8"/>
        <v>251</v>
      </c>
      <c r="AV8" s="71">
        <f>IF(OR(COUNTBLANK(AY8)=1,ISERROR(AY8)),"",COUNT(AY4:AY8))</f>
        <v>5</v>
      </c>
      <c r="AW8" s="7" t="str">
        <f t="shared" si="9"/>
        <v>ナビ・</v>
      </c>
      <c r="AX8" s="74" t="str">
        <f>IF(ISERROR(INDEX(C4:C8,MATCH(I8,D4:D8,0))),"",INDEX(C4:C8,MATCH(I8,D4:D8,0)))</f>
        <v/>
      </c>
      <c r="AY8" s="79">
        <f>IF(IF(COUNTIF(AY4:AY7,AY4)&gt;=MAX(D4:D8),AY4+4,AY4)&gt;50,"",IF(COUNTIF(AY4:AY7,AY4)&gt;=MAX(D4:D8),AY4+4,AY4))</f>
        <v>25</v>
      </c>
      <c r="AZ8" s="76" t="str">
        <f>IF(AY8="","",VLOOKUP(AY8,S4:U53,3,0))</f>
        <v>p.10～p.11</v>
      </c>
      <c r="BA8" s="8" t="str">
        <f t="shared" si="10"/>
        <v/>
      </c>
      <c r="BC8" s="71">
        <f t="shared" si="11"/>
        <v>251</v>
      </c>
      <c r="BD8" s="71">
        <f>IF(OR(COUNTBLANK(BG8)=1,ISERROR(BG8)),"",COUNT(BG4:BG8))</f>
        <v>5</v>
      </c>
      <c r="BE8" s="7" t="str">
        <f t="shared" si="12"/>
        <v>ナビ・</v>
      </c>
      <c r="BF8" s="74" t="str">
        <f>IF(ISERROR(INDEX(C4:C8,MATCH(J8,D4:D8,0))),"",INDEX(C4:C8,MATCH(J8,D4:D8,0)))</f>
        <v/>
      </c>
      <c r="BG8" s="90">
        <f>IF(BG7+1&gt;50,"",BG7+1)</f>
        <v>25</v>
      </c>
      <c r="BH8" s="76" t="str">
        <f>IF(BG8="","",VLOOKUP(BG8,S4:U53,3,0))</f>
        <v>p.10～p.11</v>
      </c>
      <c r="BI8" s="8" t="str">
        <f t="shared" si="13"/>
        <v/>
      </c>
      <c r="BL8" s="113">
        <v>5</v>
      </c>
      <c r="BM8" s="114" t="s">
        <v>116</v>
      </c>
      <c r="BN8" s="114" t="s">
        <v>125</v>
      </c>
      <c r="BP8" s="71">
        <f>IF(BT8="","",BT8*10+5)</f>
        <v>255</v>
      </c>
      <c r="BQ8" s="71">
        <f>IF(OR(COUNTBLANK(BT8)=1,ISERROR(BT8)),"",COUNT(BT4:BT8))</f>
        <v>5</v>
      </c>
      <c r="BR8" s="7" t="str">
        <f t="shared" si="18"/>
        <v>1・2年のWナビ・</v>
      </c>
      <c r="BS8" s="1" t="str">
        <f t="shared" si="19"/>
        <v/>
      </c>
      <c r="BT8" s="79">
        <f>IF(IF(COUNTIF($BT$4:BT7,BT7)&gt;=MAX($D$4:$D$8),BT7+1,BT7)&gt;55,"",IF(COUNTIF($BT$4:BT7,BT7)&gt;=MAX($D$4:$D$8),BT7+1,BT7))</f>
        <v>25</v>
      </c>
      <c r="BU8" s="1" t="str">
        <f t="shared" si="20"/>
        <v>p.92～p.93</v>
      </c>
      <c r="BV8" s="8" t="str">
        <f t="shared" si="21"/>
        <v/>
      </c>
      <c r="BX8" s="71">
        <f t="shared" si="22"/>
        <v>251</v>
      </c>
      <c r="BY8" s="71">
        <f>IF(OR(COUNTBLANK(CB8)=1,ISERROR(CB8)),"",COUNT($CB$4:CB8))</f>
        <v>5</v>
      </c>
      <c r="BZ8" s="7" t="str">
        <f t="shared" si="23"/>
        <v>1・2年のWナビ・</v>
      </c>
      <c r="CA8" s="1" t="str">
        <f t="shared" si="24"/>
        <v/>
      </c>
      <c r="CB8" s="79">
        <f>IF(IF(COUNTIF($CB$4:CB7,CB6)&gt;=MAX($D$4:$D$8),CB6+2,CB6)&gt;55,"",IF(COUNTIF($CB$4:CB7,CB6)&gt;=MAX($D$4:$D$8),CB6+2,CB6))</f>
        <v>25</v>
      </c>
      <c r="CC8" s="1" t="str">
        <f t="shared" si="25"/>
        <v>p.92～p.93</v>
      </c>
      <c r="CD8" s="8" t="str">
        <f t="shared" si="26"/>
        <v/>
      </c>
      <c r="CF8" s="71">
        <f t="shared" ref="CF8:CF17" si="46">IF(CJ8="","",CJ8*10+H8)</f>
        <v>251</v>
      </c>
      <c r="CG8" s="71">
        <f>IF(OR(COUNTBLANK(CJ8)=1,ISERROR(CJ8)),"",COUNT($CJ$4:CJ8))</f>
        <v>5</v>
      </c>
      <c r="CH8" s="7" t="str">
        <f t="shared" ref="CH8:CH17" si="47">IF(CJ8&gt;25,"ナビ・","1・2年のWナビ・")</f>
        <v>1・2年のWナビ・</v>
      </c>
      <c r="CI8" s="1" t="str">
        <f t="shared" ref="CI8:CI17" si="48">IF(ISERROR(INDEX($C$4:$C$8,MATCH(H8,$D$4:$D$8,0))),"",INDEX($C$4:$C$8,MATCH(H8,$D$4:$D$8,0)))</f>
        <v/>
      </c>
      <c r="CJ8" s="79">
        <f>IF(IF(COUNTIF($CJ$4:CJ7,CJ5)&gt;=MAX($D$4:$D$8),CJ5+3,CJ5)&gt;55,"",IF(COUNTIF($CJ$4:CJ7,CJ5)&gt;=MAX($D$4:$D$8),CJ5+3,CJ5))</f>
        <v>25</v>
      </c>
      <c r="CK8" s="1" t="str">
        <f t="shared" si="30"/>
        <v>p.92～p.93</v>
      </c>
      <c r="CL8" s="8" t="str">
        <f t="shared" ref="CL8:CL17" si="49">IF(ISERROR(IF(COUNTIF(CI8:CK8,"")&gt;=1,"",CH8&amp;CI8&amp;"【"&amp;VLOOKUP(CJ8,$BL$4:$BN$58,2,0)&amp;"】"&amp;CK8)),"",IF(COUNTIF(CI8:CK8,"")&gt;=1,"",CH8&amp;CI8&amp;"【"&amp;VLOOKUP(CJ8,$BL$4:$BN$58,2,0)&amp;"】"&amp;CK8))</f>
        <v/>
      </c>
      <c r="CN8" s="71">
        <f t="shared" si="32"/>
        <v>251</v>
      </c>
      <c r="CO8" s="71">
        <f>IF(OR(COUNTBLANK(CR8)=1,ISERROR(CR8)),"",COUNT($CR$4:CR8))</f>
        <v>5</v>
      </c>
      <c r="CP8" s="7" t="str">
        <f t="shared" si="33"/>
        <v>1・2年のWナビ・</v>
      </c>
      <c r="CQ8" s="1" t="str">
        <f t="shared" si="34"/>
        <v/>
      </c>
      <c r="CR8" s="79">
        <f>IF(IF(COUNTIF($CR$4:CR7,CR4)&gt;=MAX($D$4:$D$8),CR4+4,CR4)&gt;55,"",IF(COUNTIF($CR$4:CR7,CR4)&gt;=MAX($D$4:$D$8),CR4+4,CR4))</f>
        <v>25</v>
      </c>
      <c r="CS8" s="1" t="str">
        <f t="shared" si="35"/>
        <v>p.92～p.93</v>
      </c>
      <c r="CT8" s="8" t="str">
        <f t="shared" si="36"/>
        <v/>
      </c>
      <c r="CV8" s="71">
        <f t="shared" si="37"/>
        <v>251</v>
      </c>
      <c r="CW8" s="71">
        <f>IF(OR(COUNTBLANK(CZ8)=1,ISERROR(CZ8)),"",COUNT($CZ$4:CZ8))</f>
        <v>5</v>
      </c>
      <c r="CX8" s="7" t="str">
        <f t="shared" si="38"/>
        <v>1・2年のWナビ・</v>
      </c>
      <c r="CY8" s="1" t="str">
        <f t="shared" si="39"/>
        <v/>
      </c>
      <c r="CZ8" s="90">
        <f t="shared" si="44"/>
        <v>25</v>
      </c>
      <c r="DA8" s="1" t="str">
        <f t="shared" si="40"/>
        <v>p.92～p.93</v>
      </c>
      <c r="DB8" s="8" t="str">
        <f t="shared" si="41"/>
        <v/>
      </c>
    </row>
    <row r="9" spans="2:106" x14ac:dyDescent="0.15">
      <c r="E9" s="1">
        <v>6</v>
      </c>
      <c r="F9" s="1">
        <f>IF(F8+1&gt;MAX($D$4:$D$8),1,F8+1)</f>
        <v>1</v>
      </c>
      <c r="G9" s="1">
        <f t="shared" si="43"/>
        <v>1</v>
      </c>
      <c r="H9" s="1">
        <f t="shared" si="45"/>
        <v>1</v>
      </c>
      <c r="I9" s="1">
        <f t="shared" ref="I9:I72" si="50">IF(I5+1&gt;MAX($D$4:$D$8),1,I5+1)</f>
        <v>1</v>
      </c>
      <c r="J9" s="1">
        <f>IF(J4+1&gt;MAX($D$4:$D$8),1,J4+1)</f>
        <v>1</v>
      </c>
      <c r="L9" s="1" t="str">
        <f>IF(ISERROR(HLOOKUP($C$10,$F$3:$J$253,7,0)),"",HLOOKUP($C$10,$F$3:$J$253,7,0))</f>
        <v/>
      </c>
      <c r="M9" s="81" t="str">
        <f>IF(設定入力!E10="","",設定入力!E10)</f>
        <v/>
      </c>
      <c r="O9" s="6" t="str">
        <f>IF(設定入力!$E$1=2,IF(OR(M9=0,M9="",COUNT($M$1)=0),"",IF($M$1+SUM($M$4:M8)&gt;$Q$1,"",$M$1+SUM($M$4:M8))),IF(OR(M9=0,M9="",COUNT($M$2)=0),"",IF($M$2+SUM($M$4:M8)&gt;$Q$1,"",$M$2+SUM($M$4:M8))))</f>
        <v/>
      </c>
      <c r="P9" s="4" t="str">
        <f t="shared" si="14"/>
        <v/>
      </c>
      <c r="Q9" s="4" t="str">
        <f t="shared" si="15"/>
        <v/>
      </c>
      <c r="S9" s="9">
        <v>6</v>
      </c>
      <c r="T9" s="1">
        <v>6</v>
      </c>
      <c r="U9" s="1" t="s">
        <v>20</v>
      </c>
      <c r="W9" s="71">
        <f t="shared" si="16"/>
        <v>261</v>
      </c>
      <c r="X9" s="71">
        <f>IF(OR(COUNTBLANK(AA9)=1,ISERROR(AA9)),"",COUNT(AA4:AA9))</f>
        <v>6</v>
      </c>
      <c r="Y9" s="7" t="str">
        <f t="shared" si="0"/>
        <v>ナビ・</v>
      </c>
      <c r="Z9" s="1" t="str">
        <f t="shared" si="17"/>
        <v/>
      </c>
      <c r="AA9" s="79">
        <f>IF(IF(COUNTIF(AA4:AA8,AA8)&gt;=MAX(D4:D8),AA8+1,AA8)&gt;50,"",IF(COUNTIF(AA4:AA8,AA8)&gt;=MAX(D4:D8),AA8+1,AA8))</f>
        <v>26</v>
      </c>
      <c r="AB9" s="1" t="str">
        <f>IF(AA9="","",VLOOKUP(AA9,S4:U53,3,0))</f>
        <v>p.12～p.13</v>
      </c>
      <c r="AC9" s="8" t="str">
        <f t="shared" si="1"/>
        <v/>
      </c>
      <c r="AE9" s="71">
        <f t="shared" si="2"/>
        <v>261</v>
      </c>
      <c r="AF9" s="71">
        <f>IF(OR(COUNTBLANK(AI9)=1,ISERROR(AI9)),"",COUNT(AI4:AI9))</f>
        <v>6</v>
      </c>
      <c r="AG9" s="7" t="str">
        <f t="shared" si="3"/>
        <v>ナビ・</v>
      </c>
      <c r="AH9" s="1" t="str">
        <f>IF(ISERROR(INDEX(C4:C8,MATCH(G9,D4:D8,0))),"",INDEX(C4:C8,MATCH(G9,D4:D8,0)))</f>
        <v/>
      </c>
      <c r="AI9" s="79">
        <f>IF(IF(COUNTIF(AI4:AI7,AI7)&gt;=MAX(D4:D8),AI7+2,AI7)&gt;50,"",IF(COUNTIF(AI4:AI7,AI7)&gt;=MAX(D4:D8),AI7+2,AI7))</f>
        <v>26</v>
      </c>
      <c r="AJ9" s="1" t="str">
        <f>IF(AI9="","",VLOOKUP(AI9,S4:U53,3,0))</f>
        <v>p.12～p.13</v>
      </c>
      <c r="AK9" s="8" t="str">
        <f t="shared" si="4"/>
        <v/>
      </c>
      <c r="AM9" s="71">
        <f t="shared" si="5"/>
        <v>261</v>
      </c>
      <c r="AN9" s="71">
        <f>IF(OR(COUNTBLANK(AQ9)=1,ISERROR(AQ9)),"",COUNT(AQ4:AQ9))</f>
        <v>6</v>
      </c>
      <c r="AO9" s="7" t="str">
        <f t="shared" si="6"/>
        <v>ナビ・</v>
      </c>
      <c r="AP9" s="1" t="str">
        <f>IF(ISERROR(INDEX(C4:C8,MATCH(H9,D4:D8,0))),"",INDEX(C4:C8,MATCH(H9,D4:D8,0)))</f>
        <v/>
      </c>
      <c r="AQ9" s="79">
        <f>IF(IF(COUNTIF(AQ4:AQ8,AQ6)&gt;=MAX(D4:D8),AQ6+3,AQ6)&gt;50,"",IF(COUNTIF(AQ4:AQ8,AQ6)&gt;=MAX(D4:D8),AQ6+3,AQ6))</f>
        <v>26</v>
      </c>
      <c r="AR9" s="1" t="str">
        <f>IF(AQ9="","",VLOOKUP(AQ9,S4:U53,3,0))</f>
        <v>p.12～p.13</v>
      </c>
      <c r="AS9" s="8" t="str">
        <f t="shared" si="7"/>
        <v/>
      </c>
      <c r="AU9" s="71">
        <f t="shared" si="8"/>
        <v>261</v>
      </c>
      <c r="AV9" s="71">
        <f>IF(OR(COUNTBLANK(AY9)=1,ISERROR(AY9)),"",COUNT(AY4:AY9))</f>
        <v>6</v>
      </c>
      <c r="AW9" s="7" t="str">
        <f t="shared" si="9"/>
        <v>ナビ・</v>
      </c>
      <c r="AX9" s="74" t="str">
        <f>IF(ISERROR(INDEX(C4:C8,MATCH(I9,D4:D8,0))),"",INDEX(C4:C8,MATCH(I9,D4:D8,0)))</f>
        <v/>
      </c>
      <c r="AY9" s="79">
        <f>IF(IF(COUNTIF(AY4:AY8,AY5)&gt;=MAX(D4:D8),AY5+4,AY5)&gt;50,"",IF(COUNTIF(AY4:AY8,AY5)&gt;=MAX(D4:D8),AY5+4,AY5))</f>
        <v>26</v>
      </c>
      <c r="AZ9" s="76" t="str">
        <f>IF(AY9="","",VLOOKUP(AY9,S4:U53,3,0))</f>
        <v>p.12～p.13</v>
      </c>
      <c r="BA9" s="8" t="str">
        <f t="shared" si="10"/>
        <v/>
      </c>
      <c r="BC9" s="71">
        <f t="shared" si="11"/>
        <v>261</v>
      </c>
      <c r="BD9" s="71">
        <f>IF(OR(COUNTBLANK(BG9)=1,ISERROR(BG9)),"",COUNT(BG4:BG9))</f>
        <v>6</v>
      </c>
      <c r="BE9" s="7" t="str">
        <f t="shared" si="12"/>
        <v>ナビ・</v>
      </c>
      <c r="BF9" s="74" t="str">
        <f>IF(ISERROR(INDEX(C4:C8,MATCH(J9,D4:D8,0))),"",INDEX(C4:C8,MATCH(J9,D4:D8,0)))</f>
        <v/>
      </c>
      <c r="BG9" s="79">
        <f>IF(IF(COUNTIF(BG4:BG8,BG4)&gt;=MAX(D4:D8),BG4+5,BG4)&gt;50,"",IF(COUNTIF(BG4:BG8,BG4)&gt;=MAX(D4:D8),BG4+5,BG4))</f>
        <v>26</v>
      </c>
      <c r="BH9" s="76" t="str">
        <f>IF(BG9="","",VLOOKUP(BG9,S4:U53,3,0))</f>
        <v>p.12～p.13</v>
      </c>
      <c r="BI9" s="8" t="str">
        <f t="shared" si="13"/>
        <v/>
      </c>
      <c r="BL9" s="113">
        <v>6</v>
      </c>
      <c r="BM9" s="114">
        <v>5</v>
      </c>
      <c r="BN9" s="114" t="s">
        <v>126</v>
      </c>
      <c r="BP9" s="71">
        <f>IF(BT9="","",BT9*10+1)</f>
        <v>261</v>
      </c>
      <c r="BQ9" s="71">
        <f>IF(OR(COUNTBLANK(BT9)=1,ISERROR(BT9)),"",COUNT(BT4:BT9))</f>
        <v>6</v>
      </c>
      <c r="BR9" s="7" t="str">
        <f t="shared" si="18"/>
        <v>ナビ・</v>
      </c>
      <c r="BS9" s="1" t="str">
        <f t="shared" si="19"/>
        <v/>
      </c>
      <c r="BT9" s="79">
        <f>IF(IF(COUNTIF($BT$4:BT8,BT8)&gt;=MAX($D$4:$D$8),BT8+1,BT8)&gt;55,"",IF(COUNTIF($BT$4:BT8,BT8)&gt;=MAX($D$4:$D$8),BT8+1,BT8))</f>
        <v>26</v>
      </c>
      <c r="BU9" s="1" t="str">
        <f t="shared" si="20"/>
        <v>p.2～p.3</v>
      </c>
      <c r="BV9" s="8" t="str">
        <f t="shared" si="21"/>
        <v/>
      </c>
      <c r="BX9" s="71">
        <f t="shared" si="22"/>
        <v>261</v>
      </c>
      <c r="BY9" s="71">
        <f>IF(OR(COUNTBLANK(CB9)=1,ISERROR(CB9)),"",COUNT($CB$4:CB9))</f>
        <v>6</v>
      </c>
      <c r="BZ9" s="7" t="str">
        <f t="shared" si="23"/>
        <v>ナビ・</v>
      </c>
      <c r="CA9" s="1" t="str">
        <f t="shared" si="24"/>
        <v/>
      </c>
      <c r="CB9" s="79">
        <f>IF(IF(COUNTIF($CB$4:CB8,CB7)&gt;=MAX($D$4:$D$8),CB7+2,CB7)&gt;55,"",IF(COUNTIF($CB$4:CB8,CB7)&gt;=MAX($D$4:$D$8),CB7+2,CB7))</f>
        <v>26</v>
      </c>
      <c r="CC9" s="1" t="str">
        <f t="shared" si="25"/>
        <v>p.2～p.3</v>
      </c>
      <c r="CD9" s="8" t="str">
        <f t="shared" si="26"/>
        <v/>
      </c>
      <c r="CF9" s="71">
        <f t="shared" si="46"/>
        <v>261</v>
      </c>
      <c r="CG9" s="71">
        <f>IF(OR(COUNTBLANK(CJ9)=1,ISERROR(CJ9)),"",COUNT($CJ$4:CJ9))</f>
        <v>6</v>
      </c>
      <c r="CH9" s="7" t="str">
        <f t="shared" si="47"/>
        <v>ナビ・</v>
      </c>
      <c r="CI9" s="1" t="str">
        <f t="shared" si="48"/>
        <v/>
      </c>
      <c r="CJ9" s="79">
        <f>IF(IF(COUNTIF($CJ$4:CJ8,CJ6)&gt;=MAX($D$4:$D$8),CJ6+3,CJ6)&gt;55,"",IF(COUNTIF($CJ$4:CJ8,CJ6)&gt;=MAX($D$4:$D$8),CJ6+3,CJ6))</f>
        <v>26</v>
      </c>
      <c r="CK9" s="1" t="str">
        <f t="shared" si="30"/>
        <v>p.2～p.3</v>
      </c>
      <c r="CL9" s="8" t="str">
        <f t="shared" si="49"/>
        <v/>
      </c>
      <c r="CN9" s="71">
        <f t="shared" ref="CN9:CN72" si="51">IF(CR9="","",CR9*10+I9)</f>
        <v>261</v>
      </c>
      <c r="CO9" s="71">
        <f>IF(OR(COUNTBLANK(CR9)=1,ISERROR(CR9)),"",COUNT($CR$4:CR9))</f>
        <v>6</v>
      </c>
      <c r="CP9" s="7" t="str">
        <f t="shared" ref="CP9:CP72" si="52">IF(CR9&gt;25,"ナビ・","1・2年のWナビ・")</f>
        <v>ナビ・</v>
      </c>
      <c r="CQ9" s="1" t="str">
        <f t="shared" ref="CQ9:CQ72" si="53">IF(ISERROR(INDEX($C$4:$C$8,MATCH(I9,$D$4:$D$8,0))),"",INDEX($C$4:$C$8,MATCH(I9,$D$4:$D$8,0)))</f>
        <v/>
      </c>
      <c r="CR9" s="79">
        <f>IF(IF(COUNTIF($CR$4:CR8,CR5)&gt;=MAX($D$4:$D$8),CR5+4,CR5)&gt;55,"",IF(COUNTIF($CR$4:CR8,CR5)&gt;=MAX($D$4:$D$8),CR5+4,CR5))</f>
        <v>26</v>
      </c>
      <c r="CS9" s="1" t="str">
        <f t="shared" si="35"/>
        <v>p.2～p.3</v>
      </c>
      <c r="CT9" s="8" t="str">
        <f t="shared" ref="CT9:CT72" si="54">IF(ISERROR(IF(COUNTIF(CQ9:CS9,"")&gt;=1,"",CP9&amp;CQ9&amp;"【"&amp;VLOOKUP(CR9,$BL$4:$BN$58,2,0)&amp;"】"&amp;CS9)),"",IF(COUNTIF(CQ9:CS9,"")&gt;=1,"",CP9&amp;CQ9&amp;"【"&amp;VLOOKUP(CR9,$BL$4:$BN$58,2,0)&amp;"】"&amp;CS9))</f>
        <v/>
      </c>
      <c r="CV9" s="71">
        <f t="shared" si="37"/>
        <v>261</v>
      </c>
      <c r="CW9" s="71">
        <f>IF(OR(COUNTBLANK(CZ9)=1,ISERROR(CZ9)),"",COUNT($CZ$4:CZ9))</f>
        <v>6</v>
      </c>
      <c r="CX9" s="7" t="str">
        <f t="shared" si="38"/>
        <v>ナビ・</v>
      </c>
      <c r="CY9" s="1" t="str">
        <f t="shared" si="39"/>
        <v/>
      </c>
      <c r="CZ9" s="79">
        <f>IF(IF(COUNTIF($CZ$4:CZ8,CZ4)&gt;=MAX($D$4:$D$8),CZ4+5,CZ4)&gt;55,"",IF(COUNTIF($CZ$4:CZ8,CZ4)&gt;=MAX($D$4:$D$8),CZ4+5,CZ4))</f>
        <v>26</v>
      </c>
      <c r="DA9" s="1" t="str">
        <f t="shared" si="40"/>
        <v>p.2～p.3</v>
      </c>
      <c r="DB9" s="8" t="str">
        <f t="shared" si="41"/>
        <v/>
      </c>
    </row>
    <row r="10" spans="2:106" x14ac:dyDescent="0.15">
      <c r="B10" s="64" t="s">
        <v>63</v>
      </c>
      <c r="C10" s="1">
        <f>設定入力!C22</f>
        <v>0</v>
      </c>
      <c r="E10" s="1">
        <v>7</v>
      </c>
      <c r="F10" s="1">
        <f t="shared" si="42"/>
        <v>1</v>
      </c>
      <c r="G10" s="1">
        <f t="shared" si="43"/>
        <v>1</v>
      </c>
      <c r="H10" s="1">
        <f t="shared" si="45"/>
        <v>1</v>
      </c>
      <c r="I10" s="1">
        <f t="shared" si="50"/>
        <v>1</v>
      </c>
      <c r="J10" s="1">
        <f t="shared" ref="J10:J73" si="55">IF(J5+1&gt;MAX($D$4:$D$8),1,J5+1)</f>
        <v>1</v>
      </c>
      <c r="L10" s="1" t="str">
        <f>IF(ISERROR(HLOOKUP($C$10,$F$3:$J$253,8,0)),"",HLOOKUP($C$10,$F$3:$J$253,8,0))</f>
        <v/>
      </c>
      <c r="M10" s="81" t="str">
        <f>IF(設定入力!E11="","",設定入力!E11)</f>
        <v/>
      </c>
      <c r="O10" s="6" t="str">
        <f>IF(設定入力!$E$1=2,IF(OR(M10=0,M10="",COUNT($M$1)=0),"",IF($M$1+SUM($M$4:M9)&gt;$Q$1,"",$M$1+SUM($M$4:M9))),IF(OR(M10=0,M10="",COUNT($M$2)=0),"",IF($M$2+SUM($M$4:M9)&gt;$Q$1,"",$M$2+SUM($M$4:M9))))</f>
        <v/>
      </c>
      <c r="P10" s="4" t="str">
        <f t="shared" si="14"/>
        <v/>
      </c>
      <c r="Q10" s="4" t="str">
        <f t="shared" si="15"/>
        <v/>
      </c>
      <c r="S10" s="9">
        <v>7</v>
      </c>
      <c r="T10" s="1">
        <v>7</v>
      </c>
      <c r="U10" s="1" t="s">
        <v>21</v>
      </c>
      <c r="W10" s="71">
        <f t="shared" si="16"/>
        <v>271</v>
      </c>
      <c r="X10" s="71">
        <f>IF(OR(COUNTBLANK(AA10)=1,ISERROR(AA10)),"",COUNT(AA4:AA10))</f>
        <v>7</v>
      </c>
      <c r="Y10" s="7" t="str">
        <f t="shared" si="0"/>
        <v>ナビ・</v>
      </c>
      <c r="Z10" s="1" t="str">
        <f t="shared" si="17"/>
        <v/>
      </c>
      <c r="AA10" s="79">
        <f>IF(IF(COUNTIF(AA4:AA9,AA9)&gt;=MAX(D4:D8),AA9+1,AA9)&gt;50,"",IF(COUNTIF(AA4:AA9,AA9)&gt;=MAX(D4:D8),AA9+1,AA9))</f>
        <v>27</v>
      </c>
      <c r="AB10" s="1" t="str">
        <f>IF(AA10="","",VLOOKUP(AA10,S4:U53,3,0))</f>
        <v>p.14～p.15</v>
      </c>
      <c r="AC10" s="8" t="str">
        <f t="shared" si="1"/>
        <v/>
      </c>
      <c r="AE10" s="71">
        <f t="shared" si="2"/>
        <v>271</v>
      </c>
      <c r="AF10" s="71">
        <f>IF(OR(COUNTBLANK(AI10)=1,ISERROR(AI10)),"",COUNT(AI4:AI10))</f>
        <v>7</v>
      </c>
      <c r="AG10" s="7" t="str">
        <f t="shared" si="3"/>
        <v>ナビ・</v>
      </c>
      <c r="AH10" s="1" t="str">
        <f>IF(ISERROR(INDEX(C4:C8,MATCH(G10,D4:D8,0))),"",INDEX(C4:C8,MATCH(G10,D4:D8,0)))</f>
        <v/>
      </c>
      <c r="AI10" s="79">
        <f>IF(IF(COUNTIF(AI4:AI9,AI8)&gt;=MAX(D4:D8),AI8+2,AI8)&gt;50,"",IF(COUNTIF(AI4:AI9,AI8)&gt;=MAX(D4:D8),AI8+2,AI8))</f>
        <v>27</v>
      </c>
      <c r="AJ10" s="1" t="str">
        <f>IF(AI10="","",VLOOKUP(AI10,S4:U53,3,0))</f>
        <v>p.14～p.15</v>
      </c>
      <c r="AK10" s="8" t="str">
        <f t="shared" si="4"/>
        <v/>
      </c>
      <c r="AM10" s="71">
        <f t="shared" si="5"/>
        <v>271</v>
      </c>
      <c r="AN10" s="71">
        <f>IF(OR(COUNTBLANK(AQ10)=1,ISERROR(AQ10)),"",COUNT(AQ4:AQ10))</f>
        <v>7</v>
      </c>
      <c r="AO10" s="7" t="str">
        <f t="shared" si="6"/>
        <v>ナビ・</v>
      </c>
      <c r="AP10" s="1" t="str">
        <f>IF(ISERROR(INDEX(C4:C8,MATCH(H10,D4:D8,0))),"",INDEX(C4:C8,MATCH(H10,D4:D8,0)))</f>
        <v/>
      </c>
      <c r="AQ10" s="79">
        <f>IF(IF(COUNTIF(AQ4:AQ9,AQ7)&gt;=MAX(D4:D8),AQ7+3,AQ7)&gt;50,"",IF(COUNTIF(AQ4:AQ9,AQ7)&gt;=MAX(D4:D8),AQ7+3,AQ7))</f>
        <v>27</v>
      </c>
      <c r="AR10" s="1" t="str">
        <f>IF(AQ10="","",VLOOKUP(AQ10,S4:U53,3,0))</f>
        <v>p.14～p.15</v>
      </c>
      <c r="AS10" s="8" t="str">
        <f t="shared" si="7"/>
        <v/>
      </c>
      <c r="AU10" s="71">
        <f t="shared" si="8"/>
        <v>271</v>
      </c>
      <c r="AV10" s="71">
        <f>IF(OR(COUNTBLANK(AY10)=1,ISERROR(AY10)),"",COUNT(AY4:AY10))</f>
        <v>7</v>
      </c>
      <c r="AW10" s="7" t="str">
        <f t="shared" si="9"/>
        <v>ナビ・</v>
      </c>
      <c r="AX10" s="74" t="str">
        <f>IF(ISERROR(INDEX(C4:C8,MATCH(I10,D4:D8,0))),"",INDEX(C4:C8,MATCH(I10,D4:D8,0)))</f>
        <v/>
      </c>
      <c r="AY10" s="79">
        <f>IF(IF(COUNTIF(AY4:AY9,AY6)&gt;=MAX(D4:D8),AY6+4,AY6)&gt;50,"",IF(COUNTIF(AY4:AY9,AY6)&gt;=MAX(D4:D8),AY6+4,AY6))</f>
        <v>27</v>
      </c>
      <c r="AZ10" s="76" t="str">
        <f>IF(AY10="","",VLOOKUP(AY10,S4:U53,3,0))</f>
        <v>p.14～p.15</v>
      </c>
      <c r="BA10" s="8" t="str">
        <f t="shared" si="10"/>
        <v/>
      </c>
      <c r="BC10" s="71">
        <f t="shared" si="11"/>
        <v>271</v>
      </c>
      <c r="BD10" s="71">
        <f>IF(OR(COUNTBLANK(BG10)=1,ISERROR(BG10)),"",COUNT(BG4:BG10))</f>
        <v>7</v>
      </c>
      <c r="BE10" s="7" t="str">
        <f t="shared" si="12"/>
        <v>ナビ・</v>
      </c>
      <c r="BF10" s="74" t="str">
        <f>IF(ISERROR(INDEX(C4:C8,MATCH(J10,D4:D8,0))),"",INDEX(C4:C8,MATCH(J10,D4:D8,0)))</f>
        <v/>
      </c>
      <c r="BG10" s="79">
        <f>IF(IF(COUNTIF(BG4:BG9,BG5)&gt;=MAX(D4:D8),BG5+5,BG5)&gt;50,"",IF(COUNTIF(BG4:BG9,BG5)&gt;=MAX(D4:D8),BG5+5,BG5))</f>
        <v>27</v>
      </c>
      <c r="BH10" s="76" t="str">
        <f>IF(BG10="","",VLOOKUP(BG10,S4:U53,3,0))</f>
        <v>p.14～p.15</v>
      </c>
      <c r="BI10" s="8" t="str">
        <f t="shared" si="13"/>
        <v/>
      </c>
      <c r="BL10" s="113">
        <v>7</v>
      </c>
      <c r="BM10" s="114">
        <v>6</v>
      </c>
      <c r="BN10" s="114" t="s">
        <v>127</v>
      </c>
      <c r="BP10" s="71">
        <f>IF(BT10="","",BT10*10+2)</f>
        <v>272</v>
      </c>
      <c r="BQ10" s="71">
        <f>IF(OR(COUNTBLANK(BT10)=1,ISERROR(BT10)),"",COUNT(BT4:BT10))</f>
        <v>7</v>
      </c>
      <c r="BR10" s="7" t="str">
        <f t="shared" si="18"/>
        <v>ナビ・</v>
      </c>
      <c r="BS10" s="1" t="str">
        <f t="shared" si="19"/>
        <v/>
      </c>
      <c r="BT10" s="79">
        <f>IF(IF(COUNTIF($BT$4:BT9,BT9)&gt;=MAX($D$4:$D$8),BT9+1,BT9)&gt;55,"",IF(COUNTIF($BT$4:BT9,BT9)&gt;=MAX($D$4:$D$8),BT9+1,BT9))</f>
        <v>27</v>
      </c>
      <c r="BU10" s="1" t="str">
        <f t="shared" si="20"/>
        <v>p.4～p.5</v>
      </c>
      <c r="BV10" s="8" t="str">
        <f t="shared" si="21"/>
        <v/>
      </c>
      <c r="BX10" s="71">
        <f t="shared" si="22"/>
        <v>271</v>
      </c>
      <c r="BY10" s="71">
        <f>IF(OR(COUNTBLANK(CB10)=1,ISERROR(CB10)),"",COUNT($CB$4:CB10))</f>
        <v>7</v>
      </c>
      <c r="BZ10" s="7" t="str">
        <f t="shared" si="23"/>
        <v>ナビ・</v>
      </c>
      <c r="CA10" s="1" t="str">
        <f t="shared" si="24"/>
        <v/>
      </c>
      <c r="CB10" s="79">
        <f>IF(IF(COUNTIF($CB$4:CB9,CB8)&gt;=MAX($D$4:$D$8),CB8+2,CB8)&gt;55,"",IF(COUNTIF($CB$4:CB9,CB8)&gt;=MAX($D$4:$D$8),CB8+2,CB8))</f>
        <v>27</v>
      </c>
      <c r="CC10" s="1" t="str">
        <f t="shared" si="25"/>
        <v>p.4～p.5</v>
      </c>
      <c r="CD10" s="8" t="str">
        <f t="shared" si="26"/>
        <v/>
      </c>
      <c r="CF10" s="71">
        <f t="shared" si="46"/>
        <v>271</v>
      </c>
      <c r="CG10" s="71">
        <f>IF(OR(COUNTBLANK(CJ10)=1,ISERROR(CJ10)),"",COUNT($CJ$4:CJ10))</f>
        <v>7</v>
      </c>
      <c r="CH10" s="7" t="str">
        <f t="shared" si="47"/>
        <v>ナビ・</v>
      </c>
      <c r="CI10" s="1" t="str">
        <f t="shared" si="48"/>
        <v/>
      </c>
      <c r="CJ10" s="79">
        <f>IF(IF(COUNTIF($CJ$4:CJ9,CJ7)&gt;=MAX($D$4:$D$8),CJ7+3,CJ7)&gt;55,"",IF(COUNTIF($CJ$4:CJ9,CJ7)&gt;=MAX($D$4:$D$8),CJ7+3,CJ7))</f>
        <v>27</v>
      </c>
      <c r="CK10" s="1" t="str">
        <f t="shared" si="30"/>
        <v>p.4～p.5</v>
      </c>
      <c r="CL10" s="8" t="str">
        <f t="shared" si="49"/>
        <v/>
      </c>
      <c r="CN10" s="71">
        <f t="shared" si="51"/>
        <v>271</v>
      </c>
      <c r="CO10" s="71">
        <f>IF(OR(COUNTBLANK(CR10)=1,ISERROR(CR10)),"",COUNT($CR$4:CR10))</f>
        <v>7</v>
      </c>
      <c r="CP10" s="7" t="str">
        <f t="shared" si="52"/>
        <v>ナビ・</v>
      </c>
      <c r="CQ10" s="1" t="str">
        <f t="shared" si="53"/>
        <v/>
      </c>
      <c r="CR10" s="79">
        <f>IF(IF(COUNTIF($CR$4:CR9,CR6)&gt;=MAX($D$4:$D$8),CR6+4,CR6)&gt;55,"",IF(COUNTIF($CR$4:CR9,CR6)&gt;=MAX($D$4:$D$8),CR6+4,CR6))</f>
        <v>27</v>
      </c>
      <c r="CS10" s="1" t="str">
        <f t="shared" si="35"/>
        <v>p.4～p.5</v>
      </c>
      <c r="CT10" s="8" t="str">
        <f t="shared" si="54"/>
        <v/>
      </c>
      <c r="CV10" s="71">
        <f t="shared" ref="CV10:CV21" si="56">IF(CZ10="","",CZ10*10+J10)</f>
        <v>271</v>
      </c>
      <c r="CW10" s="71">
        <f>IF(OR(COUNTBLANK(CZ10)=1,ISERROR(CZ10)),"",COUNT($CZ$4:CZ10))</f>
        <v>7</v>
      </c>
      <c r="CX10" s="7" t="str">
        <f t="shared" ref="CX10:CX21" si="57">IF(CZ10&gt;25,"ナビ・","1・2年のWナビ・")</f>
        <v>ナビ・</v>
      </c>
      <c r="CY10" s="1" t="str">
        <f t="shared" ref="CY10:CY21" si="58">IF(ISERROR(INDEX($C$4:$C$8,MATCH(J10,$D$4:$D$8,0))),"",INDEX($C$4:$C$8,MATCH(J10,$D$4:$D$8,0)))</f>
        <v/>
      </c>
      <c r="CZ10" s="79">
        <f>IF(IF(COUNTIF($CZ$4:CZ9,CZ5)&gt;=MAX($D$4:$D$8),CZ5+5,CZ5)&gt;55,"",IF(COUNTIF($CZ$4:CZ9,CZ5)&gt;=MAX($D$4:$D$8),CZ5+5,CZ5))</f>
        <v>27</v>
      </c>
      <c r="DA10" s="1" t="str">
        <f t="shared" si="40"/>
        <v>p.4～p.5</v>
      </c>
      <c r="DB10" s="8" t="str">
        <f t="shared" ref="DB10:DB21" si="59">IF(ISERROR(IF(COUNTIF(CY10:DA10,"")&gt;=1,"",CX10&amp;CY10&amp;"【"&amp;VLOOKUP(CZ10,$BL$4:$BN$58,2,0)&amp;"】"&amp;DA10)),"",IF(COUNTIF(CY10:DA10,"")&gt;=1,"",CX10&amp;CY10&amp;"【"&amp;VLOOKUP(CZ10,$BL$4:$BN$58,2,0)&amp;"】"&amp;DA10))</f>
        <v/>
      </c>
    </row>
    <row r="11" spans="2:106" x14ac:dyDescent="0.15">
      <c r="E11" s="1">
        <v>8</v>
      </c>
      <c r="F11" s="1">
        <f t="shared" si="42"/>
        <v>1</v>
      </c>
      <c r="G11" s="1">
        <f t="shared" si="43"/>
        <v>1</v>
      </c>
      <c r="H11" s="1">
        <f t="shared" si="45"/>
        <v>1</v>
      </c>
      <c r="I11" s="1">
        <f t="shared" si="50"/>
        <v>1</v>
      </c>
      <c r="J11" s="1">
        <f t="shared" si="55"/>
        <v>1</v>
      </c>
      <c r="L11" s="1" t="str">
        <f>IF(ISERROR(HLOOKUP($C$10,$F$3:$J$253,9,0)),"",HLOOKUP($C$10,$F$3:$J$253,9,0))</f>
        <v/>
      </c>
      <c r="M11" s="81" t="str">
        <f>IF(設定入力!E12="","",設定入力!E12)</f>
        <v/>
      </c>
      <c r="O11" s="6" t="str">
        <f>IF(設定入力!$E$1=2,IF(OR(M11=0,M11="",COUNT($M$1)=0),"",IF($M$1+SUM($M$4:M10)&gt;$Q$1,"",$M$1+SUM($M$4:M10))),IF(OR(M11=0,M11="",COUNT($M$2)=0),"",IF($M$2+SUM($M$4:M10)&gt;$Q$1,"",$M$2+SUM($M$4:M10))))</f>
        <v/>
      </c>
      <c r="P11" s="4" t="str">
        <f t="shared" si="14"/>
        <v/>
      </c>
      <c r="Q11" s="4" t="str">
        <f t="shared" si="15"/>
        <v/>
      </c>
      <c r="S11" s="9">
        <v>8</v>
      </c>
      <c r="T11" s="1">
        <v>8</v>
      </c>
      <c r="U11" s="1" t="s">
        <v>22</v>
      </c>
      <c r="W11" s="71">
        <f t="shared" si="16"/>
        <v>281</v>
      </c>
      <c r="X11" s="71">
        <f>IF(OR(COUNTBLANK(AA11)=1,ISERROR(AA11)),"",COUNT(AA4:AA11))</f>
        <v>8</v>
      </c>
      <c r="Y11" s="7" t="str">
        <f t="shared" si="0"/>
        <v>ナビ・</v>
      </c>
      <c r="Z11" s="1" t="str">
        <f t="shared" si="17"/>
        <v/>
      </c>
      <c r="AA11" s="79">
        <f>IF(IF(COUNTIF(AA4:AA10,AA10)&gt;=MAX(D4:D8),AA10+1,AA10)&gt;50,"",IF(COUNTIF(AA4:AA10,AA10)&gt;=MAX(D4:D8),AA10+1,AA10))</f>
        <v>28</v>
      </c>
      <c r="AB11" s="1" t="str">
        <f>IF(AA11="","",VLOOKUP(AA11,S4:U53,3,0))</f>
        <v>p.16～p.17</v>
      </c>
      <c r="AC11" s="8" t="str">
        <f t="shared" si="1"/>
        <v/>
      </c>
      <c r="AE11" s="71">
        <f t="shared" si="2"/>
        <v>281</v>
      </c>
      <c r="AF11" s="71">
        <f>IF(OR(COUNTBLANK(AI11)=1,ISERROR(AI11)),"",COUNT(AI4:AI11))</f>
        <v>8</v>
      </c>
      <c r="AG11" s="7" t="str">
        <f t="shared" si="3"/>
        <v>ナビ・</v>
      </c>
      <c r="AH11" s="1" t="str">
        <f>IF(ISERROR(INDEX(C4:C8,MATCH(G11,D4:D8,0))),"",INDEX(C4:C8,MATCH(G11,D4:D8,0)))</f>
        <v/>
      </c>
      <c r="AI11" s="79">
        <f>IF(IF(COUNTIF(AI4:AI9,AI9)&gt;=MAX(D4:D8),AI9+2,AI9)&gt;50,"",IF(COUNTIF(AI4:AI9,AI9)&gt;=MAX(D4:D8),AI9+2,AI9))</f>
        <v>28</v>
      </c>
      <c r="AJ11" s="1" t="str">
        <f>IF(AI11="","",VLOOKUP(AI11,S4:U53,3,0))</f>
        <v>p.16～p.17</v>
      </c>
      <c r="AK11" s="8" t="str">
        <f t="shared" si="4"/>
        <v/>
      </c>
      <c r="AM11" s="71">
        <f t="shared" si="5"/>
        <v>281</v>
      </c>
      <c r="AN11" s="71">
        <f>IF(OR(COUNTBLANK(AQ11)=1,ISERROR(AQ11)),"",COUNT(AQ4:AQ11))</f>
        <v>8</v>
      </c>
      <c r="AO11" s="7" t="str">
        <f t="shared" si="6"/>
        <v>ナビ・</v>
      </c>
      <c r="AP11" s="1" t="str">
        <f>IF(ISERROR(INDEX(C4:C8,MATCH(H11,D4:D8,0))),"",INDEX(C4:C8,MATCH(H11,D4:D8,0)))</f>
        <v/>
      </c>
      <c r="AQ11" s="79">
        <f>IF(IF(COUNTIF(AQ4:AQ10,AQ8)&gt;=MAX(D4:D8),AQ8+3,AQ8)&gt;50,"",IF(COUNTIF(AQ4:AQ10,AQ8)&gt;=MAX(D4:D8),AQ8+3,AQ8))</f>
        <v>28</v>
      </c>
      <c r="AR11" s="1" t="str">
        <f>IF(AQ11="","",VLOOKUP(AQ11,S4:U53,3,0))</f>
        <v>p.16～p.17</v>
      </c>
      <c r="AS11" s="8" t="str">
        <f t="shared" si="7"/>
        <v/>
      </c>
      <c r="AU11" s="71">
        <f t="shared" si="8"/>
        <v>281</v>
      </c>
      <c r="AV11" s="71">
        <f>IF(OR(COUNTBLANK(AY11)=1,ISERROR(AY11)),"",COUNT(AY4:AY11))</f>
        <v>8</v>
      </c>
      <c r="AW11" s="7" t="str">
        <f t="shared" si="9"/>
        <v>ナビ・</v>
      </c>
      <c r="AX11" s="74" t="str">
        <f>IF(ISERROR(INDEX(C4:C8,MATCH(I11,D4:D8,0))),"",INDEX(C4:C8,MATCH(I11,D4:D8,0)))</f>
        <v/>
      </c>
      <c r="AY11" s="79">
        <f>IF(IF(COUNTIF(AY4:AY10,AY7)&gt;=MAX(D4:D8),AY7+4,AY7)&gt;50,"",IF(COUNTIF(AY4:AY10,AY7)&gt;=MAX(D4:D8),AY7+4,AY7))</f>
        <v>28</v>
      </c>
      <c r="AZ11" s="76" t="str">
        <f>IF(AY11="","",VLOOKUP(AY11,S4:U53,3,0))</f>
        <v>p.16～p.17</v>
      </c>
      <c r="BA11" s="8" t="str">
        <f t="shared" si="10"/>
        <v/>
      </c>
      <c r="BC11" s="71">
        <f t="shared" si="11"/>
        <v>281</v>
      </c>
      <c r="BD11" s="71">
        <f>IF(OR(COUNTBLANK(BG11)=1,ISERROR(BG11)),"",COUNT(BG4:BG11))</f>
        <v>8</v>
      </c>
      <c r="BE11" s="7" t="str">
        <f t="shared" si="12"/>
        <v>ナビ・</v>
      </c>
      <c r="BF11" s="74" t="str">
        <f>IF(ISERROR(INDEX(C4:C8,MATCH(J11,D4:D8,0))),"",INDEX(C4:C8,MATCH(J11,D4:D8,0)))</f>
        <v/>
      </c>
      <c r="BG11" s="79">
        <f>IF(IF(COUNTIF(BG4:BG10,BG6)&gt;=MAX(D4:D8),BG6+5,BG6)&gt;50,"",IF(COUNTIF(BG4:BG10,BG6)&gt;=MAX(D4:D8),BG6+5,BG6))</f>
        <v>28</v>
      </c>
      <c r="BH11" s="76" t="str">
        <f>IF(BG11="","",VLOOKUP(BG11,S4:U53,3,0))</f>
        <v>p.16～p.17</v>
      </c>
      <c r="BI11" s="8" t="str">
        <f t="shared" si="13"/>
        <v/>
      </c>
      <c r="BL11" s="113">
        <v>8</v>
      </c>
      <c r="BM11" s="114">
        <v>7</v>
      </c>
      <c r="BN11" s="114" t="s">
        <v>128</v>
      </c>
      <c r="BP11" s="71">
        <f>IF(BT11="","",BT11*10+3)</f>
        <v>283</v>
      </c>
      <c r="BQ11" s="71">
        <f>IF(OR(COUNTBLANK(BT11)=1,ISERROR(BT11)),"",COUNT(BT4:BT11))</f>
        <v>8</v>
      </c>
      <c r="BR11" s="7" t="str">
        <f t="shared" si="18"/>
        <v>ナビ・</v>
      </c>
      <c r="BS11" s="1" t="str">
        <f t="shared" si="19"/>
        <v/>
      </c>
      <c r="BT11" s="79">
        <f>IF(IF(COUNTIF($BT$4:BT10,BT10)&gt;=MAX($D$4:$D$8),BT10+1,BT10)&gt;55,"",IF(COUNTIF($BT$4:BT10,BT10)&gt;=MAX($D$4:$D$8),BT10+1,BT10))</f>
        <v>28</v>
      </c>
      <c r="BU11" s="1" t="str">
        <f t="shared" si="20"/>
        <v>p.6～p.7</v>
      </c>
      <c r="BV11" s="8" t="str">
        <f t="shared" si="21"/>
        <v/>
      </c>
      <c r="BX11" s="71">
        <f t="shared" si="22"/>
        <v>281</v>
      </c>
      <c r="BY11" s="71">
        <f>IF(OR(COUNTBLANK(CB11)=1,ISERROR(CB11)),"",COUNT($CB$4:CB11))</f>
        <v>8</v>
      </c>
      <c r="BZ11" s="7" t="str">
        <f t="shared" si="23"/>
        <v>ナビ・</v>
      </c>
      <c r="CA11" s="1" t="str">
        <f t="shared" si="24"/>
        <v/>
      </c>
      <c r="CB11" s="79">
        <f>IF(IF(COUNTIF($CB$4:CB10,CB9)&gt;=MAX($D$4:$D$8),CB9+2,CB9)&gt;55,"",IF(COUNTIF($CB$4:CB10,CB9)&gt;=MAX($D$4:$D$8),CB9+2,CB9))</f>
        <v>28</v>
      </c>
      <c r="CC11" s="1" t="str">
        <f t="shared" si="25"/>
        <v>p.6～p.7</v>
      </c>
      <c r="CD11" s="8" t="str">
        <f t="shared" si="26"/>
        <v/>
      </c>
      <c r="CF11" s="71">
        <f t="shared" si="46"/>
        <v>281</v>
      </c>
      <c r="CG11" s="71">
        <f>IF(OR(COUNTBLANK(CJ11)=1,ISERROR(CJ11)),"",COUNT($CJ$4:CJ11))</f>
        <v>8</v>
      </c>
      <c r="CH11" s="7" t="str">
        <f t="shared" si="47"/>
        <v>ナビ・</v>
      </c>
      <c r="CI11" s="1" t="str">
        <f t="shared" si="48"/>
        <v/>
      </c>
      <c r="CJ11" s="79">
        <f>IF(IF(COUNTIF($CJ$4:CJ10,CJ8)&gt;=MAX($D$4:$D$8),CJ8+3,CJ8)&gt;55,"",IF(COUNTIF($CJ$4:CJ10,CJ8)&gt;=MAX($D$4:$D$8),CJ8+3,CJ8))</f>
        <v>28</v>
      </c>
      <c r="CK11" s="1" t="str">
        <f t="shared" si="30"/>
        <v>p.6～p.7</v>
      </c>
      <c r="CL11" s="8" t="str">
        <f t="shared" si="49"/>
        <v/>
      </c>
      <c r="CN11" s="71">
        <f t="shared" si="51"/>
        <v>281</v>
      </c>
      <c r="CO11" s="71">
        <f>IF(OR(COUNTBLANK(CR11)=1,ISERROR(CR11)),"",COUNT($CR$4:CR11))</f>
        <v>8</v>
      </c>
      <c r="CP11" s="7" t="str">
        <f t="shared" si="52"/>
        <v>ナビ・</v>
      </c>
      <c r="CQ11" s="1" t="str">
        <f t="shared" si="53"/>
        <v/>
      </c>
      <c r="CR11" s="79">
        <f>IF(IF(COUNTIF($CR$4:CR10,CR7)&gt;=MAX($D$4:$D$8),CR7+4,CR7)&gt;55,"",IF(COUNTIF($CR$4:CR10,CR7)&gt;=MAX($D$4:$D$8),CR7+4,CR7))</f>
        <v>28</v>
      </c>
      <c r="CS11" s="1" t="str">
        <f t="shared" si="35"/>
        <v>p.6～p.7</v>
      </c>
      <c r="CT11" s="8" t="str">
        <f t="shared" si="54"/>
        <v/>
      </c>
      <c r="CV11" s="71">
        <f t="shared" si="56"/>
        <v>281</v>
      </c>
      <c r="CW11" s="71">
        <f>IF(OR(COUNTBLANK(CZ11)=1,ISERROR(CZ11)),"",COUNT($CZ$4:CZ11))</f>
        <v>8</v>
      </c>
      <c r="CX11" s="7" t="str">
        <f t="shared" si="57"/>
        <v>ナビ・</v>
      </c>
      <c r="CY11" s="1" t="str">
        <f t="shared" si="58"/>
        <v/>
      </c>
      <c r="CZ11" s="79">
        <f>IF(IF(COUNTIF($CZ$4:CZ10,CZ6)&gt;=MAX($D$4:$D$8),CZ6+5,CZ6)&gt;55,"",IF(COUNTIF($CZ$4:CZ10,CZ6)&gt;=MAX($D$4:$D$8),CZ6+5,CZ6))</f>
        <v>28</v>
      </c>
      <c r="DA11" s="1" t="str">
        <f t="shared" si="40"/>
        <v>p.6～p.7</v>
      </c>
      <c r="DB11" s="8" t="str">
        <f t="shared" si="59"/>
        <v/>
      </c>
    </row>
    <row r="12" spans="2:106" x14ac:dyDescent="0.15">
      <c r="E12" s="1">
        <v>9</v>
      </c>
      <c r="F12" s="1">
        <f t="shared" si="42"/>
        <v>1</v>
      </c>
      <c r="G12" s="1">
        <f t="shared" si="43"/>
        <v>1</v>
      </c>
      <c r="H12" s="1">
        <f t="shared" si="45"/>
        <v>1</v>
      </c>
      <c r="I12" s="1">
        <f t="shared" si="50"/>
        <v>1</v>
      </c>
      <c r="J12" s="1">
        <f t="shared" si="55"/>
        <v>1</v>
      </c>
      <c r="L12" s="1" t="str">
        <f>IF(ISERROR(HLOOKUP($C$10,$F$3:$J$253,10,0)),"",HLOOKUP($C$10,$F$3:$J$253,10,0))</f>
        <v/>
      </c>
      <c r="M12" s="81" t="str">
        <f>IF(設定入力!E13="","",設定入力!E13)</f>
        <v/>
      </c>
      <c r="O12" s="6" t="str">
        <f>IF(設定入力!$E$1=2,IF(OR(M12=0,M12="",COUNT($M$1)=0),"",IF($M$1+SUM($M$4:M11)&gt;$Q$1,"",$M$1+SUM($M$4:M11))),IF(OR(M12=0,M12="",COUNT($M$2)=0),"",IF($M$2+SUM($M$4:M11)&gt;$Q$1,"",$M$2+SUM($M$4:M11))))</f>
        <v/>
      </c>
      <c r="P12" s="4" t="str">
        <f t="shared" si="14"/>
        <v/>
      </c>
      <c r="Q12" s="4" t="str">
        <f t="shared" si="15"/>
        <v/>
      </c>
      <c r="S12" s="9">
        <v>9</v>
      </c>
      <c r="T12" s="1">
        <v>9</v>
      </c>
      <c r="U12" s="1" t="s">
        <v>23</v>
      </c>
      <c r="W12" s="71">
        <f t="shared" si="16"/>
        <v>291</v>
      </c>
      <c r="X12" s="71">
        <f>IF(OR(COUNTBLANK(AA12)=1,ISERROR(AA12)),"",COUNT(AA4:AA12))</f>
        <v>9</v>
      </c>
      <c r="Y12" s="7" t="str">
        <f t="shared" si="0"/>
        <v>ナビ・</v>
      </c>
      <c r="Z12" s="1" t="str">
        <f t="shared" si="17"/>
        <v/>
      </c>
      <c r="AA12" s="79">
        <f>IF(IF(COUNTIF(AA4:AA11,AA11)&gt;=MAX(D4:D8),AA11+1,AA11)&gt;50,"",IF(COUNTIF(AA4:AA11,AA11)&gt;=MAX(D4:D8),AA11+1,AA11))</f>
        <v>29</v>
      </c>
      <c r="AB12" s="1" t="str">
        <f>IF(AA12="","",VLOOKUP(AA12,S4:U53,3,0))</f>
        <v>p.18～p.19</v>
      </c>
      <c r="AC12" s="8" t="str">
        <f t="shared" si="1"/>
        <v/>
      </c>
      <c r="AE12" s="71">
        <f t="shared" si="2"/>
        <v>291</v>
      </c>
      <c r="AF12" s="71">
        <f>IF(OR(COUNTBLANK(AI12)=1,ISERROR(AI12)),"",COUNT(AI4:AI12))</f>
        <v>9</v>
      </c>
      <c r="AG12" s="7" t="str">
        <f t="shared" si="3"/>
        <v>ナビ・</v>
      </c>
      <c r="AH12" s="1" t="str">
        <f>IF(ISERROR(INDEX(C4:C8,MATCH(G12,D4:D8,0))),"",INDEX(C4:C8,MATCH(G12,D4:D8,0)))</f>
        <v/>
      </c>
      <c r="AI12" s="79">
        <f>IF(IF(COUNTIF(AI4:AI11,AI10)&gt;=MAX(D4:D8),AI10+2,AI10)&gt;50,"",IF(COUNTIF(AI4:AI11,AI10)&gt;=MAX(D4:D8),AI10+2,AI10))</f>
        <v>29</v>
      </c>
      <c r="AJ12" s="1" t="str">
        <f>IF(AI12="","",VLOOKUP(AI12,S4:U53,3,0))</f>
        <v>p.18～p.19</v>
      </c>
      <c r="AK12" s="8" t="str">
        <f t="shared" si="4"/>
        <v/>
      </c>
      <c r="AM12" s="71">
        <f t="shared" si="5"/>
        <v>291</v>
      </c>
      <c r="AN12" s="71">
        <f>IF(OR(COUNTBLANK(AQ12)=1,ISERROR(AQ12)),"",COUNT(AQ4:AQ12))</f>
        <v>9</v>
      </c>
      <c r="AO12" s="7" t="str">
        <f t="shared" si="6"/>
        <v>ナビ・</v>
      </c>
      <c r="AP12" s="1" t="str">
        <f>IF(ISERROR(INDEX(C4:C8,MATCH(H12,D4:D8,0))),"",INDEX(C4:C8,MATCH(H12,D4:D8,0)))</f>
        <v/>
      </c>
      <c r="AQ12" s="79">
        <f>IF(IF(COUNTIF(AQ4:AQ11,AQ9)&gt;=MAX(D4:D8),AQ9+3,AQ9)&gt;50,"",IF(COUNTIF(AQ4:AQ11,AQ9)&gt;=MAX(D4:D8),AQ9+3,AQ9))</f>
        <v>29</v>
      </c>
      <c r="AR12" s="1" t="str">
        <f>IF(AQ12="","",VLOOKUP(AQ12,S4:U53,3,0))</f>
        <v>p.18～p.19</v>
      </c>
      <c r="AS12" s="8" t="str">
        <f t="shared" si="7"/>
        <v/>
      </c>
      <c r="AU12" s="71">
        <f t="shared" si="8"/>
        <v>291</v>
      </c>
      <c r="AV12" s="71">
        <f>IF(OR(COUNTBLANK(AY12)=1,ISERROR(AY12)),"",COUNT(AY4:AY12))</f>
        <v>9</v>
      </c>
      <c r="AW12" s="7" t="str">
        <f t="shared" si="9"/>
        <v>ナビ・</v>
      </c>
      <c r="AX12" s="74" t="str">
        <f>IF(ISERROR(INDEX(C4:C8,MATCH(I12,D4:D8,0))),"",INDEX(C4:C8,MATCH(I12,D4:D8,0)))</f>
        <v/>
      </c>
      <c r="AY12" s="79">
        <f>IF(IF(COUNTIF(AY4:AY11,AY8)&gt;=MAX(D4:D8),AY8+4,AY8)&gt;50,"",IF(COUNTIF(AY4:AY11,AY8)&gt;=MAX(D4:D8),AY8+4,AY8))</f>
        <v>29</v>
      </c>
      <c r="AZ12" s="76" t="str">
        <f>IF(AY12="","",VLOOKUP(AY12,S4:U53,3,0))</f>
        <v>p.18～p.19</v>
      </c>
      <c r="BA12" s="8" t="str">
        <f t="shared" si="10"/>
        <v/>
      </c>
      <c r="BC12" s="71">
        <f t="shared" si="11"/>
        <v>291</v>
      </c>
      <c r="BD12" s="71">
        <f>IF(OR(COUNTBLANK(BG12)=1,ISERROR(BG12)),"",COUNT(BG4:BG12))</f>
        <v>9</v>
      </c>
      <c r="BE12" s="7" t="str">
        <f t="shared" si="12"/>
        <v>ナビ・</v>
      </c>
      <c r="BF12" s="74" t="str">
        <f>IF(ISERROR(INDEX(C4:C8,MATCH(J12,D4:D8,0))),"",INDEX(C4:C8,MATCH(J12,D4:D8,0)))</f>
        <v/>
      </c>
      <c r="BG12" s="79">
        <f>IF(IF(COUNTIF(BG4:BG11,BG7)&gt;=MAX(D4:D8),BG7+5,BG7)&gt;50,"",IF(COUNTIF(BG4:BG11,BG7)&gt;=MAX(D4:D8),BG7+5,BG7))</f>
        <v>29</v>
      </c>
      <c r="BH12" s="76" t="str">
        <f>IF(BG12="","",VLOOKUP(BG12,S4:U53,3,0))</f>
        <v>p.18～p.19</v>
      </c>
      <c r="BI12" s="8" t="str">
        <f t="shared" si="13"/>
        <v/>
      </c>
      <c r="BL12" s="113">
        <v>9</v>
      </c>
      <c r="BM12" s="114">
        <v>8</v>
      </c>
      <c r="BN12" s="114" t="s">
        <v>129</v>
      </c>
      <c r="BP12" s="71">
        <f>IF(BT12="","",BT12*10+4)</f>
        <v>294</v>
      </c>
      <c r="BQ12" s="71">
        <f>IF(OR(COUNTBLANK(BT12)=1,ISERROR(BT12)),"",COUNT(BT4:BT12))</f>
        <v>9</v>
      </c>
      <c r="BR12" s="7" t="str">
        <f t="shared" si="18"/>
        <v>ナビ・</v>
      </c>
      <c r="BS12" s="1" t="str">
        <f t="shared" si="19"/>
        <v/>
      </c>
      <c r="BT12" s="79">
        <f>IF(IF(COUNTIF($BT$4:BT11,BT11)&gt;=MAX($D$4:$D$8),BT11+1,BT11)&gt;55,"",IF(COUNTIF($BT$4:BT11,BT11)&gt;=MAX($D$4:$D$8),BT11+1,BT11))</f>
        <v>29</v>
      </c>
      <c r="BU12" s="1" t="str">
        <f t="shared" si="20"/>
        <v>p.8～p.9</v>
      </c>
      <c r="BV12" s="8" t="str">
        <f t="shared" si="21"/>
        <v/>
      </c>
      <c r="BX12" s="71">
        <f t="shared" si="22"/>
        <v>291</v>
      </c>
      <c r="BY12" s="71">
        <f>IF(OR(COUNTBLANK(CB12)=1,ISERROR(CB12)),"",COUNT($CB$4:CB12))</f>
        <v>9</v>
      </c>
      <c r="BZ12" s="7" t="str">
        <f t="shared" si="23"/>
        <v>ナビ・</v>
      </c>
      <c r="CA12" s="1" t="str">
        <f>IF(ISERROR(INDEX($C$4:$C$8,MATCH(G12,$D$4:$D$8,0))),"",INDEX($C$4:$C$8,MATCH(G12,$D$4:$D$8,0)))</f>
        <v/>
      </c>
      <c r="CB12" s="79">
        <f>IF(IF(COUNTIF($CB$4:CB11,CB10)&gt;=MAX($D$4:$D$8),CB10+2,CB10)&gt;55,"",IF(COUNTIF($CB$4:CB11,CB10)&gt;=MAX($D$4:$D$8),CB10+2,CB10))</f>
        <v>29</v>
      </c>
      <c r="CC12" s="1" t="str">
        <f t="shared" si="25"/>
        <v>p.8～p.9</v>
      </c>
      <c r="CD12" s="8" t="str">
        <f t="shared" si="26"/>
        <v/>
      </c>
      <c r="CF12" s="71">
        <f t="shared" si="46"/>
        <v>291</v>
      </c>
      <c r="CG12" s="71">
        <f>IF(OR(COUNTBLANK(CJ12)=1,ISERROR(CJ12)),"",COUNT($CJ$4:CJ12))</f>
        <v>9</v>
      </c>
      <c r="CH12" s="7" t="str">
        <f t="shared" si="47"/>
        <v>ナビ・</v>
      </c>
      <c r="CI12" s="1" t="str">
        <f t="shared" si="48"/>
        <v/>
      </c>
      <c r="CJ12" s="79">
        <f>IF(IF(COUNTIF($CJ$4:CJ11,CJ9)&gt;=MAX($D$4:$D$8),CJ9+3,CJ9)&gt;55,"",IF(COUNTIF($CJ$4:CJ11,CJ9)&gt;=MAX($D$4:$D$8),CJ9+3,CJ9))</f>
        <v>29</v>
      </c>
      <c r="CK12" s="1" t="str">
        <f t="shared" si="30"/>
        <v>p.8～p.9</v>
      </c>
      <c r="CL12" s="8" t="str">
        <f t="shared" si="49"/>
        <v/>
      </c>
      <c r="CN12" s="71">
        <f t="shared" si="51"/>
        <v>291</v>
      </c>
      <c r="CO12" s="71">
        <f>IF(OR(COUNTBLANK(CR12)=1,ISERROR(CR12)),"",COUNT($CR$4:CR12))</f>
        <v>9</v>
      </c>
      <c r="CP12" s="7" t="str">
        <f t="shared" si="52"/>
        <v>ナビ・</v>
      </c>
      <c r="CQ12" s="1" t="str">
        <f t="shared" si="53"/>
        <v/>
      </c>
      <c r="CR12" s="79">
        <f>IF(IF(COUNTIF($CR$4:CR11,CR8)&gt;=MAX($D$4:$D$8),CR8+4,CR8)&gt;55,"",IF(COUNTIF($CR$4:CR11,CR8)&gt;=MAX($D$4:$D$8),CR8+4,CR8))</f>
        <v>29</v>
      </c>
      <c r="CS12" s="1" t="str">
        <f t="shared" si="35"/>
        <v>p.8～p.9</v>
      </c>
      <c r="CT12" s="8" t="str">
        <f t="shared" si="54"/>
        <v/>
      </c>
      <c r="CV12" s="71">
        <f t="shared" si="56"/>
        <v>291</v>
      </c>
      <c r="CW12" s="71">
        <f>IF(OR(COUNTBLANK(CZ12)=1,ISERROR(CZ12)),"",COUNT($CZ$4:CZ12))</f>
        <v>9</v>
      </c>
      <c r="CX12" s="7" t="str">
        <f t="shared" si="57"/>
        <v>ナビ・</v>
      </c>
      <c r="CY12" s="1" t="str">
        <f t="shared" si="58"/>
        <v/>
      </c>
      <c r="CZ12" s="79">
        <f>IF(IF(COUNTIF($CZ$4:CZ11,CZ7)&gt;=MAX($D$4:$D$8),CZ7+5,CZ7)&gt;55,"",IF(COUNTIF($CZ$4:CZ11,CZ7)&gt;=MAX($D$4:$D$8),CZ7+5,CZ7))</f>
        <v>29</v>
      </c>
      <c r="DA12" s="1" t="str">
        <f t="shared" si="40"/>
        <v>p.8～p.9</v>
      </c>
      <c r="DB12" s="8" t="str">
        <f t="shared" si="59"/>
        <v/>
      </c>
    </row>
    <row r="13" spans="2:106" x14ac:dyDescent="0.15">
      <c r="E13" s="1">
        <v>10</v>
      </c>
      <c r="F13" s="1">
        <f t="shared" si="42"/>
        <v>1</v>
      </c>
      <c r="G13" s="1">
        <f t="shared" si="43"/>
        <v>1</v>
      </c>
      <c r="H13" s="1">
        <f t="shared" si="45"/>
        <v>1</v>
      </c>
      <c r="I13" s="1">
        <f t="shared" si="50"/>
        <v>1</v>
      </c>
      <c r="J13" s="1">
        <f t="shared" si="55"/>
        <v>1</v>
      </c>
      <c r="L13" s="1" t="str">
        <f>IF(ISERROR(HLOOKUP($C$10,$F$3:$J$253,11,0)),"",HLOOKUP($C$10,$F$3:$J$253,11,0))</f>
        <v/>
      </c>
      <c r="M13" s="81" t="str">
        <f>IF(設定入力!E14="","",設定入力!E14)</f>
        <v/>
      </c>
      <c r="O13" s="6" t="str">
        <f>IF(設定入力!$E$1=2,IF(OR(M13=0,M13="",COUNT($M$1)=0),"",IF($M$1+SUM($M$4:M12)&gt;$Q$1,"",$M$1+SUM($M$4:M12))),IF(OR(M13=0,M13="",COUNT($M$2)=0),"",IF($M$2+SUM($M$4:M12)&gt;$Q$1,"",$M$2+SUM($M$4:M12))))</f>
        <v/>
      </c>
      <c r="P13" s="4" t="str">
        <f t="shared" si="14"/>
        <v/>
      </c>
      <c r="Q13" s="4" t="str">
        <f t="shared" si="15"/>
        <v/>
      </c>
      <c r="S13" s="9">
        <v>10</v>
      </c>
      <c r="T13" s="1">
        <v>10</v>
      </c>
      <c r="U13" s="1" t="s">
        <v>24</v>
      </c>
      <c r="W13" s="71">
        <f t="shared" si="16"/>
        <v>301</v>
      </c>
      <c r="X13" s="71">
        <f>IF(OR(COUNTBLANK(AA13)=1,ISERROR(AA13)),"",COUNT(AA4:AA13))</f>
        <v>10</v>
      </c>
      <c r="Y13" s="7" t="str">
        <f t="shared" si="0"/>
        <v>ナビ・</v>
      </c>
      <c r="Z13" s="1" t="str">
        <f t="shared" si="17"/>
        <v/>
      </c>
      <c r="AA13" s="79">
        <f>IF(IF(COUNTIF(AA4:AA12,AA12)&gt;=MAX(D4:D8),AA12+1,AA12)&gt;50,"",IF(COUNTIF(AA4:AA12,AA12)&gt;=MAX(D4:D8),AA12+1,AA12))</f>
        <v>30</v>
      </c>
      <c r="AB13" s="1" t="str">
        <f>IF(AA13="","",VLOOKUP(AA13,S4:U53,3,0))</f>
        <v>p.20～p.21</v>
      </c>
      <c r="AC13" s="8" t="str">
        <f t="shared" si="1"/>
        <v/>
      </c>
      <c r="AE13" s="71">
        <f t="shared" si="2"/>
        <v>301</v>
      </c>
      <c r="AF13" s="71">
        <f>IF(OR(COUNTBLANK(AI13)=1,ISERROR(AI13)),"",COUNT(AI4:AI13))</f>
        <v>10</v>
      </c>
      <c r="AG13" s="7" t="str">
        <f t="shared" si="3"/>
        <v>ナビ・</v>
      </c>
      <c r="AH13" s="1" t="str">
        <f>IF(ISERROR(INDEX(C4:C8,MATCH(G13,D4:D8,0))),"",INDEX(C4:C8,MATCH(G13,D4:D8,0)))</f>
        <v/>
      </c>
      <c r="AI13" s="79">
        <f>IF(IF(COUNTIF(AI4:AI11,AI11)&gt;=MAX(D4:D8),AI11+2,AI11)&gt;50,"",IF(COUNTIF(AI4:AI11,AI11)&gt;=MAX(D4:D8),AI11+2,AI11))</f>
        <v>30</v>
      </c>
      <c r="AJ13" s="1" t="str">
        <f>IF(AI13="","",VLOOKUP(AI13,S4:U53,3,0))</f>
        <v>p.20～p.21</v>
      </c>
      <c r="AK13" s="8" t="str">
        <f t="shared" si="4"/>
        <v/>
      </c>
      <c r="AM13" s="71">
        <f t="shared" si="5"/>
        <v>301</v>
      </c>
      <c r="AN13" s="71">
        <f>IF(OR(COUNTBLANK(AQ13)=1,ISERROR(AQ13)),"",COUNT(AQ4:AQ13))</f>
        <v>10</v>
      </c>
      <c r="AO13" s="7" t="str">
        <f t="shared" si="6"/>
        <v>ナビ・</v>
      </c>
      <c r="AP13" s="1" t="str">
        <f>IF(ISERROR(INDEX(C4:C8,MATCH(H13,D4:D8,0))),"",INDEX(C4:C8,MATCH(H13,D4:D8,0)))</f>
        <v/>
      </c>
      <c r="AQ13" s="79">
        <f>IF(IF(COUNTIF(AQ4:AQ12,AQ10)&gt;=MAX(D4:D8),AQ10+3,AQ10)&gt;50,"",IF(COUNTIF(AQ4:AQ12,AQ10)&gt;=MAX(D4:D8),AQ10+3,AQ10))</f>
        <v>30</v>
      </c>
      <c r="AR13" s="1" t="str">
        <f>IF(AQ13="","",VLOOKUP(AQ13,S4:U53,3,0))</f>
        <v>p.20～p.21</v>
      </c>
      <c r="AS13" s="8" t="str">
        <f t="shared" si="7"/>
        <v/>
      </c>
      <c r="AU13" s="71">
        <f t="shared" si="8"/>
        <v>301</v>
      </c>
      <c r="AV13" s="71">
        <f>IF(OR(COUNTBLANK(AY13)=1,ISERROR(AY13)),"",COUNT(AY4:AY13))</f>
        <v>10</v>
      </c>
      <c r="AW13" s="7" t="str">
        <f t="shared" si="9"/>
        <v>ナビ・</v>
      </c>
      <c r="AX13" s="74" t="str">
        <f>IF(ISERROR(INDEX(C4:C8,MATCH(I13,D4:D8,0))),"",INDEX(C4:C8,MATCH(I13,D4:D8,0)))</f>
        <v/>
      </c>
      <c r="AY13" s="79">
        <f>IF(IF(COUNTIF(AY4:AY12,AY9)&gt;=MAX(D4:D8),AY9+4,AY9)&gt;50,"",IF(COUNTIF(AY4:AY12,AY9)&gt;=MAX(D4:D8),AY9+4,AY9))</f>
        <v>30</v>
      </c>
      <c r="AZ13" s="76" t="str">
        <f>IF(AY13="","",VLOOKUP(AY13,S4:U53,3,0))</f>
        <v>p.20～p.21</v>
      </c>
      <c r="BA13" s="8" t="str">
        <f t="shared" si="10"/>
        <v/>
      </c>
      <c r="BC13" s="71">
        <f t="shared" si="11"/>
        <v>301</v>
      </c>
      <c r="BD13" s="71">
        <f>IF(OR(COUNTBLANK(BG13)=1,ISERROR(BG13)),"",COUNT(BG4:BG13))</f>
        <v>10</v>
      </c>
      <c r="BE13" s="7" t="str">
        <f t="shared" si="12"/>
        <v>ナビ・</v>
      </c>
      <c r="BF13" s="74" t="str">
        <f>IF(ISERROR(INDEX(C4:C8,MATCH(J13,D4:D8,0))),"",INDEX(C4:C8,MATCH(J13,D4:D8,0)))</f>
        <v/>
      </c>
      <c r="BG13" s="79">
        <f>IF(IF(COUNTIF(BG4:BG12,BG8)&gt;=MAX(D4:D8),BG8+5,BG8)&gt;50,"",IF(COUNTIF(BG4:BG12,BG8)&gt;=MAX(D4:D8),BG8+5,BG8))</f>
        <v>30</v>
      </c>
      <c r="BH13" s="76" t="str">
        <f>IF(BG13="","",VLOOKUP(BG13,S4:U53,3,0))</f>
        <v>p.20～p.21</v>
      </c>
      <c r="BI13" s="8" t="str">
        <f t="shared" si="13"/>
        <v/>
      </c>
      <c r="BL13" s="113">
        <v>10</v>
      </c>
      <c r="BM13" s="114" t="s">
        <v>117</v>
      </c>
      <c r="BN13" s="114" t="s">
        <v>130</v>
      </c>
      <c r="BP13" s="71">
        <f>IF(BT13="","",BT13*10+5)</f>
        <v>305</v>
      </c>
      <c r="BQ13" s="71">
        <f>IF(OR(COUNTBLANK(BT13)=1,ISERROR(BT13)),"",COUNT(BT4:BT13))</f>
        <v>10</v>
      </c>
      <c r="BR13" s="7" t="str">
        <f t="shared" si="18"/>
        <v>ナビ・</v>
      </c>
      <c r="BS13" s="1" t="str">
        <f t="shared" si="19"/>
        <v/>
      </c>
      <c r="BT13" s="79">
        <f>IF(IF(COUNTIF($BT$4:BT12,BT12)&gt;=MAX($D$4:$D$8),BT12+1,BT12)&gt;55,"",IF(COUNTIF($BT$4:BT12,BT12)&gt;=MAX($D$4:$D$8),BT12+1,BT12))</f>
        <v>30</v>
      </c>
      <c r="BU13" s="1" t="str">
        <f t="shared" si="20"/>
        <v>p.10～p.11</v>
      </c>
      <c r="BV13" s="8" t="str">
        <f t="shared" si="21"/>
        <v/>
      </c>
      <c r="BX13" s="71">
        <f t="shared" si="22"/>
        <v>301</v>
      </c>
      <c r="BY13" s="71">
        <f>IF(OR(COUNTBLANK(CB13)=1,ISERROR(CB13)),"",COUNT($CB$4:CB13))</f>
        <v>10</v>
      </c>
      <c r="BZ13" s="7" t="str">
        <f t="shared" si="23"/>
        <v>ナビ・</v>
      </c>
      <c r="CA13" s="1" t="str">
        <f t="shared" si="24"/>
        <v/>
      </c>
      <c r="CB13" s="79">
        <f>IF(IF(COUNTIF($CB$4:CB12,CB11)&gt;=MAX($D$4:$D$8),CB11+2,CB11)&gt;55,"",IF(COUNTIF($CB$4:CB12,CB11)&gt;=MAX($D$4:$D$8),CB11+2,CB11))</f>
        <v>30</v>
      </c>
      <c r="CC13" s="1" t="str">
        <f t="shared" si="25"/>
        <v>p.10～p.11</v>
      </c>
      <c r="CD13" s="8" t="str">
        <f t="shared" si="26"/>
        <v/>
      </c>
      <c r="CF13" s="71">
        <f t="shared" si="46"/>
        <v>301</v>
      </c>
      <c r="CG13" s="71">
        <f>IF(OR(COUNTBLANK(CJ13)=1,ISERROR(CJ13)),"",COUNT($CJ$4:CJ13))</f>
        <v>10</v>
      </c>
      <c r="CH13" s="7" t="str">
        <f t="shared" si="47"/>
        <v>ナビ・</v>
      </c>
      <c r="CI13" s="1" t="str">
        <f t="shared" si="48"/>
        <v/>
      </c>
      <c r="CJ13" s="79">
        <f>IF(IF(COUNTIF($CJ$4:CJ12,CJ10)&gt;=MAX($D$4:$D$8),CJ10+3,CJ10)&gt;55,"",IF(COUNTIF($CJ$4:CJ12,CJ10)&gt;=MAX($D$4:$D$8),CJ10+3,CJ10))</f>
        <v>30</v>
      </c>
      <c r="CK13" s="1" t="str">
        <f t="shared" si="30"/>
        <v>p.10～p.11</v>
      </c>
      <c r="CL13" s="8" t="str">
        <f t="shared" si="49"/>
        <v/>
      </c>
      <c r="CN13" s="71">
        <f t="shared" si="51"/>
        <v>301</v>
      </c>
      <c r="CO13" s="71">
        <f>IF(OR(COUNTBLANK(CR13)=1,ISERROR(CR13)),"",COUNT($CR$4:CR13))</f>
        <v>10</v>
      </c>
      <c r="CP13" s="7" t="str">
        <f t="shared" si="52"/>
        <v>ナビ・</v>
      </c>
      <c r="CQ13" s="1" t="str">
        <f t="shared" si="53"/>
        <v/>
      </c>
      <c r="CR13" s="79">
        <f>IF(IF(COUNTIF($CR$4:CR12,CR9)&gt;=MAX($D$4:$D$8),CR9+4,CR9)&gt;55,"",IF(COUNTIF($CR$4:CR12,CR9)&gt;=MAX($D$4:$D$8),CR9+4,CR9))</f>
        <v>30</v>
      </c>
      <c r="CS13" s="1" t="str">
        <f t="shared" si="35"/>
        <v>p.10～p.11</v>
      </c>
      <c r="CT13" s="8" t="str">
        <f t="shared" si="54"/>
        <v/>
      </c>
      <c r="CV13" s="71">
        <f t="shared" si="56"/>
        <v>301</v>
      </c>
      <c r="CW13" s="71">
        <f>IF(OR(COUNTBLANK(CZ13)=1,ISERROR(CZ13)),"",COUNT($CZ$4:CZ13))</f>
        <v>10</v>
      </c>
      <c r="CX13" s="7" t="str">
        <f t="shared" si="57"/>
        <v>ナビ・</v>
      </c>
      <c r="CY13" s="1" t="str">
        <f t="shared" si="58"/>
        <v/>
      </c>
      <c r="CZ13" s="79">
        <f>IF(IF(COUNTIF($CZ$4:CZ12,CZ8)&gt;=MAX($D$4:$D$8),CZ8+5,CZ8)&gt;55,"",IF(COUNTIF($CZ$4:CZ12,CZ8)&gt;=MAX($D$4:$D$8),CZ8+5,CZ8))</f>
        <v>30</v>
      </c>
      <c r="DA13" s="1" t="str">
        <f t="shared" si="40"/>
        <v>p.10～p.11</v>
      </c>
      <c r="DB13" s="8" t="str">
        <f t="shared" si="59"/>
        <v/>
      </c>
    </row>
    <row r="14" spans="2:106" x14ac:dyDescent="0.15">
      <c r="E14" s="1">
        <v>11</v>
      </c>
      <c r="F14" s="1">
        <f t="shared" si="42"/>
        <v>1</v>
      </c>
      <c r="G14" s="1">
        <f t="shared" ref="G14:G73" si="60">IF(G12+1&gt;MAX($D$4:$D$8),1,G12+1)</f>
        <v>1</v>
      </c>
      <c r="H14" s="1">
        <f t="shared" si="45"/>
        <v>1</v>
      </c>
      <c r="I14" s="1">
        <f t="shared" si="50"/>
        <v>1</v>
      </c>
      <c r="J14" s="1">
        <f t="shared" si="55"/>
        <v>1</v>
      </c>
      <c r="L14" s="1" t="str">
        <f>IF(ISERROR(HLOOKUP($C$10,$F$3:$J$253,12,0)),"",HLOOKUP($C$10,$F$3:$J$253,12,0))</f>
        <v/>
      </c>
      <c r="M14" s="81" t="str">
        <f>IF(設定入力!E15="","",設定入力!E15)</f>
        <v/>
      </c>
      <c r="O14" s="6" t="str">
        <f>IF(設定入力!$E$1=2,IF(OR(M14=0,M14="",COUNT($M$1)=0),"",IF($M$1+SUM($M$4:M13)&gt;$Q$1,"",$M$1+SUM($M$4:M13))),IF(OR(M14=0,M14="",COUNT($M$2)=0),"",IF($M$2+SUM($M$4:M13)&gt;$Q$1,"",$M$2+SUM($M$4:M13))))</f>
        <v/>
      </c>
      <c r="P14" s="4" t="str">
        <f t="shared" si="14"/>
        <v/>
      </c>
      <c r="Q14" s="4" t="str">
        <f t="shared" si="15"/>
        <v/>
      </c>
      <c r="S14" s="9">
        <v>11</v>
      </c>
      <c r="T14" s="1">
        <v>11</v>
      </c>
      <c r="U14" s="1" t="s">
        <v>25</v>
      </c>
      <c r="W14" s="71">
        <f t="shared" si="16"/>
        <v>311</v>
      </c>
      <c r="X14" s="71">
        <f>IF(OR(COUNTBLANK(AA14)=1,ISERROR(AA14)),"",COUNT(AA4:AA14))</f>
        <v>11</v>
      </c>
      <c r="Y14" s="7" t="str">
        <f t="shared" si="0"/>
        <v>ナビ・</v>
      </c>
      <c r="Z14" s="1" t="str">
        <f t="shared" si="17"/>
        <v/>
      </c>
      <c r="AA14" s="79">
        <f>IF(IF(COUNTIF(AA4:AA13,AA13)&gt;=MAX(D4:D8),AA13+1,AA13)&gt;50,"",IF(COUNTIF(AA4:AA13,AA13)&gt;=MAX(D4:D8),AA13+1,AA13))</f>
        <v>31</v>
      </c>
      <c r="AB14" s="1" t="str">
        <f>IF(AA14="","",VLOOKUP(AA14,S4:U53,3,0))</f>
        <v>p.22～p.23</v>
      </c>
      <c r="AC14" s="8" t="str">
        <f t="shared" si="1"/>
        <v/>
      </c>
      <c r="AE14" s="71">
        <f t="shared" si="2"/>
        <v>311</v>
      </c>
      <c r="AF14" s="71">
        <f>IF(OR(COUNTBLANK(AI14)=1,ISERROR(AI14)),"",COUNT(AI4:AI14))</f>
        <v>11</v>
      </c>
      <c r="AG14" s="7" t="str">
        <f t="shared" si="3"/>
        <v>ナビ・</v>
      </c>
      <c r="AH14" s="1" t="str">
        <f>IF(ISERROR(INDEX(C4:C8,MATCH(G14,D4:D8,0))),"",INDEX(C4:C8,MATCH(G14,D4:D8,0)))</f>
        <v/>
      </c>
      <c r="AI14" s="79">
        <f>IF(IF(COUNTIF(AI4:AI13,AI12)&gt;=MAX(D4:D8),AI12+2,AI12)&gt;50,"",IF(COUNTIF(AI4:AI13,AI12)&gt;=MAX(D4:D8),AI12+2,AI12))</f>
        <v>31</v>
      </c>
      <c r="AJ14" s="1" t="str">
        <f>IF(AI14="","",VLOOKUP(AI14,S4:U53,3,0))</f>
        <v>p.22～p.23</v>
      </c>
      <c r="AK14" s="8" t="str">
        <f t="shared" si="4"/>
        <v/>
      </c>
      <c r="AM14" s="71">
        <f t="shared" si="5"/>
        <v>311</v>
      </c>
      <c r="AN14" s="71">
        <f>IF(OR(COUNTBLANK(AQ14)=1,ISERROR(AQ14)),"",COUNT(AQ4:AQ14))</f>
        <v>11</v>
      </c>
      <c r="AO14" s="7" t="str">
        <f t="shared" si="6"/>
        <v>ナビ・</v>
      </c>
      <c r="AP14" s="1" t="str">
        <f>IF(ISERROR(INDEX(C4:C8,MATCH(H14,D4:D8,0))),"",INDEX(C4:C8,MATCH(H14,D4:D8,0)))</f>
        <v/>
      </c>
      <c r="AQ14" s="79">
        <f>IF(IF(COUNTIF(AQ4:AQ13,AQ11)&gt;=MAX(D4:D8),AQ11+3,AQ11)&gt;50,"",IF(COUNTIF(AQ4:AQ13,AQ11)&gt;=MAX(D4:D8),AQ11+3,AQ11))</f>
        <v>31</v>
      </c>
      <c r="AR14" s="1" t="str">
        <f>IF(AQ14="","",VLOOKUP(AQ14,S4:U53,3,0))</f>
        <v>p.22～p.23</v>
      </c>
      <c r="AS14" s="8" t="str">
        <f t="shared" si="7"/>
        <v/>
      </c>
      <c r="AU14" s="71">
        <f t="shared" si="8"/>
        <v>311</v>
      </c>
      <c r="AV14" s="71">
        <f>IF(OR(COUNTBLANK(AY14)=1,ISERROR(AY14)),"",COUNT(AY4:AY14))</f>
        <v>11</v>
      </c>
      <c r="AW14" s="7" t="str">
        <f t="shared" si="9"/>
        <v>ナビ・</v>
      </c>
      <c r="AX14" s="74" t="str">
        <f>IF(ISERROR(INDEX(C4:C8,MATCH(I14,D4:D8,0))),"",INDEX(C4:C8,MATCH(I14,D4:D8,0)))</f>
        <v/>
      </c>
      <c r="AY14" s="79">
        <f>IF(IF(COUNTIF(AY4:AY13,AY10)&gt;=MAX(D4:D8),AY10+4,AY10)&gt;50,"",IF(COUNTIF(AY4:AY13,AY10)&gt;=MAX(D4:D8),AY10+4,AY10))</f>
        <v>31</v>
      </c>
      <c r="AZ14" s="76" t="str">
        <f>IF(AY14="","",VLOOKUP(AY14,S4:U53,3,0))</f>
        <v>p.22～p.23</v>
      </c>
      <c r="BA14" s="8" t="str">
        <f t="shared" si="10"/>
        <v/>
      </c>
      <c r="BC14" s="71">
        <f t="shared" si="11"/>
        <v>311</v>
      </c>
      <c r="BD14" s="71">
        <f>IF(OR(COUNTBLANK(BG14)=1,ISERROR(BG14)),"",COUNT(BG4:BG14))</f>
        <v>11</v>
      </c>
      <c r="BE14" s="7" t="str">
        <f t="shared" si="12"/>
        <v>ナビ・</v>
      </c>
      <c r="BF14" s="74" t="str">
        <f>IF(ISERROR(INDEX(C4:C8,MATCH(J14,D4:D8,0))),"",INDEX(C4:C8,MATCH(J14,D4:D8,0)))</f>
        <v/>
      </c>
      <c r="BG14" s="79">
        <f>IF(IF(COUNTIF(BG4:BG13,BG9)&gt;=MAX(D4:D8),BG9+5,BG9)&gt;50,"",IF(COUNTIF(BG4:BG13,BG9)&gt;=MAX(D4:D8),BG9+5,BG9))</f>
        <v>31</v>
      </c>
      <c r="BH14" s="76" t="str">
        <f>IF(BG14="","",VLOOKUP(BG14,S4:U53,3,0))</f>
        <v>p.22～p.23</v>
      </c>
      <c r="BI14" s="8" t="str">
        <f t="shared" si="13"/>
        <v/>
      </c>
      <c r="BL14" s="113">
        <v>11</v>
      </c>
      <c r="BM14" s="114">
        <v>9</v>
      </c>
      <c r="BN14" s="114" t="s">
        <v>131</v>
      </c>
      <c r="BP14" s="71">
        <f>IF(BT14="","",BT14*10+1)</f>
        <v>311</v>
      </c>
      <c r="BQ14" s="71">
        <f>IF(OR(COUNTBLANK(BT14)=1,ISERROR(BT14)),"",COUNT(BT4:BT14))</f>
        <v>11</v>
      </c>
      <c r="BR14" s="7" t="str">
        <f t="shared" si="18"/>
        <v>ナビ・</v>
      </c>
      <c r="BS14" s="1" t="str">
        <f t="shared" si="19"/>
        <v/>
      </c>
      <c r="BT14" s="79">
        <f>IF(IF(COUNTIF($BT$4:BT13,BT13)&gt;=MAX($D$4:$D$8),BT13+1,BT13)&gt;55,"",IF(COUNTIF($BT$4:BT13,BT13)&gt;=MAX($D$4:$D$8),BT13+1,BT13))</f>
        <v>31</v>
      </c>
      <c r="BU14" s="1" t="str">
        <f t="shared" si="20"/>
        <v>p.12～p.13</v>
      </c>
      <c r="BV14" s="8" t="str">
        <f t="shared" si="21"/>
        <v/>
      </c>
      <c r="BX14" s="71">
        <f t="shared" si="22"/>
        <v>311</v>
      </c>
      <c r="BY14" s="71">
        <f>IF(OR(COUNTBLANK(CB14)=1,ISERROR(CB14)),"",COUNT($CB$4:CB14))</f>
        <v>11</v>
      </c>
      <c r="BZ14" s="7" t="str">
        <f t="shared" si="23"/>
        <v>ナビ・</v>
      </c>
      <c r="CA14" s="1" t="str">
        <f t="shared" si="24"/>
        <v/>
      </c>
      <c r="CB14" s="79">
        <f>IF(IF(COUNTIF($CB$4:CB13,CB12)&gt;=MAX($D$4:$D$8),CB12+2,CB12)&gt;55,"",IF(COUNTIF($CB$4:CB13,CB12)&gt;=MAX($D$4:$D$8),CB12+2,CB12))</f>
        <v>31</v>
      </c>
      <c r="CC14" s="1" t="str">
        <f t="shared" si="25"/>
        <v>p.12～p.13</v>
      </c>
      <c r="CD14" s="8" t="str">
        <f t="shared" si="26"/>
        <v/>
      </c>
      <c r="CF14" s="71">
        <f t="shared" si="46"/>
        <v>311</v>
      </c>
      <c r="CG14" s="71">
        <f>IF(OR(COUNTBLANK(CJ14)=1,ISERROR(CJ14)),"",COUNT($CJ$4:CJ14))</f>
        <v>11</v>
      </c>
      <c r="CH14" s="7" t="str">
        <f t="shared" si="47"/>
        <v>ナビ・</v>
      </c>
      <c r="CI14" s="1" t="str">
        <f t="shared" si="48"/>
        <v/>
      </c>
      <c r="CJ14" s="79">
        <f>IF(IF(COUNTIF($CJ$4:CJ13,CJ11)&gt;=MAX($D$4:$D$8),CJ11+3,CJ11)&gt;55,"",IF(COUNTIF($CJ$4:CJ13,CJ11)&gt;=MAX($D$4:$D$8),CJ11+3,CJ11))</f>
        <v>31</v>
      </c>
      <c r="CK14" s="1" t="str">
        <f t="shared" si="30"/>
        <v>p.12～p.13</v>
      </c>
      <c r="CL14" s="8" t="str">
        <f t="shared" si="49"/>
        <v/>
      </c>
      <c r="CN14" s="71">
        <f t="shared" si="51"/>
        <v>311</v>
      </c>
      <c r="CO14" s="71">
        <f>IF(OR(COUNTBLANK(CR14)=1,ISERROR(CR14)),"",COUNT($CR$4:CR14))</f>
        <v>11</v>
      </c>
      <c r="CP14" s="7" t="str">
        <f t="shared" si="52"/>
        <v>ナビ・</v>
      </c>
      <c r="CQ14" s="1" t="str">
        <f t="shared" si="53"/>
        <v/>
      </c>
      <c r="CR14" s="79">
        <f>IF(IF(COUNTIF($CR$4:CR13,CR10)&gt;=MAX($D$4:$D$8),CR10+4,CR10)&gt;55,"",IF(COUNTIF($CR$4:CR13,CR10)&gt;=MAX($D$4:$D$8),CR10+4,CR10))</f>
        <v>31</v>
      </c>
      <c r="CS14" s="1" t="str">
        <f t="shared" si="35"/>
        <v>p.12～p.13</v>
      </c>
      <c r="CT14" s="8" t="str">
        <f t="shared" si="54"/>
        <v/>
      </c>
      <c r="CV14" s="71">
        <f t="shared" si="56"/>
        <v>311</v>
      </c>
      <c r="CW14" s="71">
        <f>IF(OR(COUNTBLANK(CZ14)=1,ISERROR(CZ14)),"",COUNT($CZ$4:CZ14))</f>
        <v>11</v>
      </c>
      <c r="CX14" s="7" t="str">
        <f t="shared" si="57"/>
        <v>ナビ・</v>
      </c>
      <c r="CY14" s="1" t="str">
        <f t="shared" si="58"/>
        <v/>
      </c>
      <c r="CZ14" s="79">
        <f>IF(IF(COUNTIF($CZ$4:CZ13,CZ9)&gt;=MAX($D$4:$D$8),CZ9+5,CZ9)&gt;55,"",IF(COUNTIF($CZ$4:CZ13,CZ9)&gt;=MAX($D$4:$D$8),CZ9+5,CZ9))</f>
        <v>31</v>
      </c>
      <c r="DA14" s="1" t="str">
        <f t="shared" si="40"/>
        <v>p.12～p.13</v>
      </c>
      <c r="DB14" s="8" t="str">
        <f t="shared" si="59"/>
        <v/>
      </c>
    </row>
    <row r="15" spans="2:106" x14ac:dyDescent="0.15">
      <c r="E15" s="1">
        <v>12</v>
      </c>
      <c r="F15" s="1">
        <f t="shared" si="42"/>
        <v>1</v>
      </c>
      <c r="G15" s="1">
        <f>IF(G13+1&gt;MAX($D$4:$D$8),1,G13+1)</f>
        <v>1</v>
      </c>
      <c r="H15" s="1">
        <f t="shared" si="45"/>
        <v>1</v>
      </c>
      <c r="I15" s="1">
        <f t="shared" si="50"/>
        <v>1</v>
      </c>
      <c r="J15" s="1">
        <f t="shared" si="55"/>
        <v>1</v>
      </c>
      <c r="L15" s="1" t="str">
        <f>IF(ISERROR(HLOOKUP($C$10,$F$3:$J$253,13,0)),"",HLOOKUP($C$10,$F$3:$J$253,13,0))</f>
        <v/>
      </c>
      <c r="M15" s="81" t="str">
        <f>IF(設定入力!E16="","",設定入力!E16)</f>
        <v/>
      </c>
      <c r="O15" s="6" t="str">
        <f>IF(設定入力!$E$1=2,IF(OR(M15=0,M15="",COUNT($M$1)=0),"",IF($M$1+SUM($M$4:M14)&gt;$Q$1,"",$M$1+SUM($M$4:M14))),IF(OR(M15=0,M15="",COUNT($M$2)=0),"",IF($M$2+SUM($M$4:M14)&gt;$Q$1,"",$M$2+SUM($M$4:M14))))</f>
        <v/>
      </c>
      <c r="P15" s="4" t="str">
        <f t="shared" si="14"/>
        <v/>
      </c>
      <c r="Q15" s="4" t="str">
        <f t="shared" si="15"/>
        <v/>
      </c>
      <c r="S15" s="9">
        <v>12</v>
      </c>
      <c r="T15" s="1">
        <v>12</v>
      </c>
      <c r="U15" s="1" t="s">
        <v>26</v>
      </c>
      <c r="W15" s="71">
        <f t="shared" si="16"/>
        <v>321</v>
      </c>
      <c r="X15" s="71">
        <f>IF(OR(COUNTBLANK(AA15)=1,ISERROR(AA15)),"",COUNT(AA4:AA15))</f>
        <v>12</v>
      </c>
      <c r="Y15" s="7" t="str">
        <f t="shared" si="0"/>
        <v>ナビ・</v>
      </c>
      <c r="Z15" s="1" t="str">
        <f t="shared" si="17"/>
        <v/>
      </c>
      <c r="AA15" s="79">
        <f>IF(IF(COUNTIF(AA4:AA14,AA14)&gt;=MAX(D4:D8),AA14+1,AA14)&gt;50,"",IF(COUNTIF(AA4:AA14,AA14)&gt;=MAX(D4:D8),AA14+1,AA14))</f>
        <v>32</v>
      </c>
      <c r="AB15" s="1" t="str">
        <f>IF(AA15="","",VLOOKUP(AA15,S4:U53,3,0))</f>
        <v>p.24～p.25</v>
      </c>
      <c r="AC15" s="8" t="str">
        <f t="shared" si="1"/>
        <v/>
      </c>
      <c r="AE15" s="71">
        <f t="shared" si="2"/>
        <v>321</v>
      </c>
      <c r="AF15" s="71">
        <f>IF(OR(COUNTBLANK(AI15)=1,ISERROR(AI15)),"",COUNT(AI4:AI15))</f>
        <v>12</v>
      </c>
      <c r="AG15" s="7" t="str">
        <f t="shared" si="3"/>
        <v>ナビ・</v>
      </c>
      <c r="AH15" s="1" t="str">
        <f>IF(ISERROR(INDEX(C4:C8,MATCH(G15,D4:D8,0))),"",INDEX(C4:C8,MATCH(G15,D4:D8,0)))</f>
        <v/>
      </c>
      <c r="AI15" s="79">
        <f>IF(IF(COUNTIF(AI4:AI13,AI13)&gt;=MAX(D4:D8),AI13+2,AI13)&gt;50,"",IF(COUNTIF(AI4:AI13,AI13)&gt;=MAX(D4:D8),AI13+2,AI13))</f>
        <v>32</v>
      </c>
      <c r="AJ15" s="1" t="str">
        <f>IF(AI15="","",VLOOKUP(AI15,S4:U53,3,0))</f>
        <v>p.24～p.25</v>
      </c>
      <c r="AK15" s="8" t="str">
        <f t="shared" si="4"/>
        <v/>
      </c>
      <c r="AM15" s="71">
        <f t="shared" si="5"/>
        <v>321</v>
      </c>
      <c r="AN15" s="71">
        <f>IF(OR(COUNTBLANK(AQ15)=1,ISERROR(AQ15)),"",COUNT(AQ4:AQ15))</f>
        <v>12</v>
      </c>
      <c r="AO15" s="7" t="str">
        <f t="shared" si="6"/>
        <v>ナビ・</v>
      </c>
      <c r="AP15" s="1" t="str">
        <f>IF(ISERROR(INDEX(C4:C8,MATCH(H15,D4:D8,0))),"",INDEX(C4:C8,MATCH(H15,D4:D8,0)))</f>
        <v/>
      </c>
      <c r="AQ15" s="79">
        <f>IF(IF(COUNTIF(AQ4:AQ14,AQ12)&gt;=MAX(D4:D8),AQ12+3,AQ12)&gt;50,"",IF(COUNTIF(AQ4:AQ14,AQ12)&gt;=MAX(D4:D8),AQ12+3,AQ12))</f>
        <v>32</v>
      </c>
      <c r="AR15" s="1" t="str">
        <f>IF(AQ15="","",VLOOKUP(AQ15,S4:U53,3,0))</f>
        <v>p.24～p.25</v>
      </c>
      <c r="AS15" s="8" t="str">
        <f t="shared" si="7"/>
        <v/>
      </c>
      <c r="AU15" s="71">
        <f t="shared" si="8"/>
        <v>321</v>
      </c>
      <c r="AV15" s="71">
        <f>IF(OR(COUNTBLANK(AY15)=1,ISERROR(AY15)),"",COUNT(AY4:AY15))</f>
        <v>12</v>
      </c>
      <c r="AW15" s="7" t="str">
        <f t="shared" si="9"/>
        <v>ナビ・</v>
      </c>
      <c r="AX15" s="74" t="str">
        <f>IF(ISERROR(INDEX(C4:C8,MATCH(I15,D4:D8,0))),"",INDEX(C4:C8,MATCH(I15,D4:D8,0)))</f>
        <v/>
      </c>
      <c r="AY15" s="79">
        <f>IF(IF(COUNTIF(AY4:AY14,AY11)&gt;=MAX(D4:D8),AY11+4,AY11)&gt;50,"",IF(COUNTIF(AY4:AY14,AY11)&gt;=MAX(D4:D8),AY11+4,AY11))</f>
        <v>32</v>
      </c>
      <c r="AZ15" s="76" t="str">
        <f>IF(AY15="","",VLOOKUP(AY15,S4:U53,3,0))</f>
        <v>p.24～p.25</v>
      </c>
      <c r="BA15" s="8" t="str">
        <f t="shared" si="10"/>
        <v/>
      </c>
      <c r="BC15" s="71">
        <f t="shared" si="11"/>
        <v>321</v>
      </c>
      <c r="BD15" s="71">
        <f>IF(OR(COUNTBLANK(BG15)=1,ISERROR(BG15)),"",COUNT(BG4:BG15))</f>
        <v>12</v>
      </c>
      <c r="BE15" s="7" t="str">
        <f t="shared" si="12"/>
        <v>ナビ・</v>
      </c>
      <c r="BF15" s="74" t="str">
        <f>IF(ISERROR(INDEX(C4:C8,MATCH(J15,D4:D8,0))),"",INDEX(C4:C8,MATCH(J15,D4:D8,0)))</f>
        <v/>
      </c>
      <c r="BG15" s="79">
        <f>IF(IF(COUNTIF(BG4:BG14,BG10)&gt;=MAX(D4:D8),BG10+5,BG10)&gt;50,"",IF(COUNTIF(BG4:BG14,BG10)&gt;=MAX(D4:D8),BG10+5,BG10))</f>
        <v>32</v>
      </c>
      <c r="BH15" s="76" t="str">
        <f>IF(BG15="","",VLOOKUP(BG15,S4:U53,3,0))</f>
        <v>p.24～p.25</v>
      </c>
      <c r="BI15" s="8" t="str">
        <f t="shared" si="13"/>
        <v/>
      </c>
      <c r="BL15" s="113">
        <v>12</v>
      </c>
      <c r="BM15" s="114">
        <v>10</v>
      </c>
      <c r="BN15" s="114" t="s">
        <v>132</v>
      </c>
      <c r="BP15" s="71">
        <f>IF(BT15="","",BT15*10+2)</f>
        <v>322</v>
      </c>
      <c r="BQ15" s="71">
        <f>IF(OR(COUNTBLANK(BT15)=1,ISERROR(BT15)),"",COUNT(BT4:BT15))</f>
        <v>12</v>
      </c>
      <c r="BR15" s="7" t="str">
        <f t="shared" si="18"/>
        <v>ナビ・</v>
      </c>
      <c r="BS15" s="1" t="str">
        <f t="shared" si="19"/>
        <v/>
      </c>
      <c r="BT15" s="79">
        <f>IF(IF(COUNTIF($BT$4:BT14,BT14)&gt;=MAX($D$4:$D$8),BT14+1,BT14)&gt;55,"",IF(COUNTIF($BT$4:BT14,BT14)&gt;=MAX($D$4:$D$8),BT14+1,BT14))</f>
        <v>32</v>
      </c>
      <c r="BU15" s="1" t="str">
        <f t="shared" si="20"/>
        <v>p.14～p.15</v>
      </c>
      <c r="BV15" s="8" t="str">
        <f t="shared" si="21"/>
        <v/>
      </c>
      <c r="BX15" s="71">
        <f t="shared" si="22"/>
        <v>321</v>
      </c>
      <c r="BY15" s="71">
        <f>IF(OR(COUNTBLANK(CB15)=1,ISERROR(CB15)),"",COUNT($CB$4:CB15))</f>
        <v>12</v>
      </c>
      <c r="BZ15" s="7" t="str">
        <f t="shared" si="23"/>
        <v>ナビ・</v>
      </c>
      <c r="CA15" s="1" t="str">
        <f t="shared" si="24"/>
        <v/>
      </c>
      <c r="CB15" s="79">
        <f>IF(IF(COUNTIF($CB$4:CB14,CB13)&gt;=MAX($D$4:$D$8),CB13+2,CB13)&gt;55,"",IF(COUNTIF($CB$4:CB14,CB13)&gt;=MAX($D$4:$D$8),CB13+2,CB13))</f>
        <v>32</v>
      </c>
      <c r="CC15" s="1" t="str">
        <f t="shared" si="25"/>
        <v>p.14～p.15</v>
      </c>
      <c r="CD15" s="8" t="str">
        <f t="shared" si="26"/>
        <v/>
      </c>
      <c r="CF15" s="71">
        <f t="shared" si="46"/>
        <v>321</v>
      </c>
      <c r="CG15" s="71">
        <f>IF(OR(COUNTBLANK(CJ15)=1,ISERROR(CJ15)),"",COUNT($CJ$4:CJ15))</f>
        <v>12</v>
      </c>
      <c r="CH15" s="7" t="str">
        <f t="shared" si="47"/>
        <v>ナビ・</v>
      </c>
      <c r="CI15" s="1" t="str">
        <f t="shared" si="48"/>
        <v/>
      </c>
      <c r="CJ15" s="79">
        <f>IF(IF(COUNTIF($CJ$4:CJ14,CJ12)&gt;=MAX($D$4:$D$8),CJ12+3,CJ12)&gt;55,"",IF(COUNTIF($CJ$4:CJ14,CJ12)&gt;=MAX($D$4:$D$8),CJ12+3,CJ12))</f>
        <v>32</v>
      </c>
      <c r="CK15" s="1" t="str">
        <f t="shared" si="30"/>
        <v>p.14～p.15</v>
      </c>
      <c r="CL15" s="8" t="str">
        <f t="shared" si="49"/>
        <v/>
      </c>
      <c r="CN15" s="71">
        <f t="shared" si="51"/>
        <v>321</v>
      </c>
      <c r="CO15" s="71">
        <f>IF(OR(COUNTBLANK(CR15)=1,ISERROR(CR15)),"",COUNT($CR$4:CR15))</f>
        <v>12</v>
      </c>
      <c r="CP15" s="7" t="str">
        <f t="shared" si="52"/>
        <v>ナビ・</v>
      </c>
      <c r="CQ15" s="1" t="str">
        <f t="shared" si="53"/>
        <v/>
      </c>
      <c r="CR15" s="79">
        <f>IF(IF(COUNTIF($CR$4:CR14,CR11)&gt;=MAX($D$4:$D$8),CR11+4,CR11)&gt;55,"",IF(COUNTIF($CR$4:CR14,CR11)&gt;=MAX($D$4:$D$8),CR11+4,CR11))</f>
        <v>32</v>
      </c>
      <c r="CS15" s="1" t="str">
        <f t="shared" si="35"/>
        <v>p.14～p.15</v>
      </c>
      <c r="CT15" s="8" t="str">
        <f t="shared" si="54"/>
        <v/>
      </c>
      <c r="CV15" s="71">
        <f t="shared" si="56"/>
        <v>321</v>
      </c>
      <c r="CW15" s="71">
        <f>IF(OR(COUNTBLANK(CZ15)=1,ISERROR(CZ15)),"",COUNT($CZ$4:CZ15))</f>
        <v>12</v>
      </c>
      <c r="CX15" s="7" t="str">
        <f t="shared" si="57"/>
        <v>ナビ・</v>
      </c>
      <c r="CY15" s="1" t="str">
        <f t="shared" si="58"/>
        <v/>
      </c>
      <c r="CZ15" s="79">
        <f>IF(IF(COUNTIF($CZ$4:CZ14,CZ10)&gt;=MAX($D$4:$D$8),CZ10+5,CZ10)&gt;55,"",IF(COUNTIF($CZ$4:CZ14,CZ10)&gt;=MAX($D$4:$D$8),CZ10+5,CZ10))</f>
        <v>32</v>
      </c>
      <c r="DA15" s="1" t="str">
        <f t="shared" si="40"/>
        <v>p.14～p.15</v>
      </c>
      <c r="DB15" s="8" t="str">
        <f t="shared" si="59"/>
        <v/>
      </c>
    </row>
    <row r="16" spans="2:106" x14ac:dyDescent="0.15">
      <c r="B16" s="77"/>
      <c r="E16" s="1">
        <v>13</v>
      </c>
      <c r="F16" s="1">
        <f t="shared" si="42"/>
        <v>1</v>
      </c>
      <c r="G16" s="1">
        <f>IF(G14+1&gt;MAX($D$4:$D$8),1,G14+1)</f>
        <v>1</v>
      </c>
      <c r="H16" s="1">
        <f t="shared" si="45"/>
        <v>1</v>
      </c>
      <c r="I16" s="1">
        <f t="shared" si="50"/>
        <v>1</v>
      </c>
      <c r="J16" s="1">
        <f t="shared" si="55"/>
        <v>1</v>
      </c>
      <c r="L16" s="1" t="str">
        <f>IF(ISERROR(HLOOKUP($C$10,$F$3:$J$253,14,0)),"",HLOOKUP($C$10,$F$3:$J$253,14,0))</f>
        <v/>
      </c>
      <c r="M16" s="81" t="str">
        <f>IF(設定入力!E17="","",設定入力!E17)</f>
        <v/>
      </c>
      <c r="O16" s="6" t="str">
        <f>IF(設定入力!$E$1=2,IF(OR(M16=0,M16="",COUNT($M$1)=0),"",IF($M$1+SUM($M$4:M15)&gt;$Q$1,"",$M$1+SUM($M$4:M15))),IF(OR(M16=0,M16="",COUNT($M$2)=0),"",IF($M$2+SUM($M$4:M15)&gt;$Q$1,"",$M$2+SUM($M$4:M15))))</f>
        <v/>
      </c>
      <c r="P16" s="4" t="str">
        <f t="shared" si="14"/>
        <v/>
      </c>
      <c r="Q16" s="4" t="str">
        <f t="shared" si="15"/>
        <v/>
      </c>
      <c r="S16" s="9">
        <v>13</v>
      </c>
      <c r="T16" s="1">
        <v>13</v>
      </c>
      <c r="U16" s="1" t="s">
        <v>27</v>
      </c>
      <c r="W16" s="71">
        <f t="shared" si="16"/>
        <v>331</v>
      </c>
      <c r="X16" s="71">
        <f>IF(OR(COUNTBLANK(AA16)=1,ISERROR(AA16)),"",COUNT(AA4:AA16))</f>
        <v>13</v>
      </c>
      <c r="Y16" s="7" t="str">
        <f t="shared" si="0"/>
        <v>ナビ・</v>
      </c>
      <c r="Z16" s="1" t="str">
        <f t="shared" si="17"/>
        <v/>
      </c>
      <c r="AA16" s="79">
        <f>IF(IF(COUNTIF(AA4:AA15,AA15)&gt;=MAX(D4:D8),AA15+1,AA15)&gt;50,"",IF(COUNTIF(AA4:AA15,AA15)&gt;=MAX(D4:D8),AA15+1,AA15))</f>
        <v>33</v>
      </c>
      <c r="AB16" s="1" t="str">
        <f>IF(AA16="","",VLOOKUP(AA16,S4:U53,3,0))</f>
        <v>p.26～p.27</v>
      </c>
      <c r="AC16" s="8" t="str">
        <f t="shared" si="1"/>
        <v/>
      </c>
      <c r="AE16" s="71">
        <f t="shared" si="2"/>
        <v>331</v>
      </c>
      <c r="AF16" s="71">
        <f>IF(OR(COUNTBLANK(AI16)=1,ISERROR(AI16)),"",COUNT(AI4:AI16))</f>
        <v>13</v>
      </c>
      <c r="AG16" s="7" t="str">
        <f t="shared" si="3"/>
        <v>ナビ・</v>
      </c>
      <c r="AH16" s="1" t="str">
        <f>IF(ISERROR(INDEX(C4:C8,MATCH(G16,D4:D8,0))),"",INDEX(C4:C8,MATCH(G16,D4:D8,0)))</f>
        <v/>
      </c>
      <c r="AI16" s="79">
        <f>IF(IF(COUNTIF(AI4:AI15,AI14)&gt;=MAX(D4:D8),AI14+2,AI14)&gt;50,"",IF(COUNTIF(AI4:AI15,AI14)&gt;=MAX(D4:D8),AI14+2,AI14))</f>
        <v>33</v>
      </c>
      <c r="AJ16" s="1" t="str">
        <f>IF(AI16="","",VLOOKUP(AI16,S4:U53,3,0))</f>
        <v>p.26～p.27</v>
      </c>
      <c r="AK16" s="8" t="str">
        <f t="shared" si="4"/>
        <v/>
      </c>
      <c r="AM16" s="71">
        <f t="shared" si="5"/>
        <v>331</v>
      </c>
      <c r="AN16" s="71">
        <f>IF(OR(COUNTBLANK(AQ16)=1,ISERROR(AQ16)),"",COUNT(AQ4:AQ16))</f>
        <v>13</v>
      </c>
      <c r="AO16" s="7" t="str">
        <f t="shared" si="6"/>
        <v>ナビ・</v>
      </c>
      <c r="AP16" s="1" t="str">
        <f>IF(ISERROR(INDEX(C4:C8,MATCH(H16,D4:D8,0))),"",INDEX(C4:C8,MATCH(H16,D4:D8,0)))</f>
        <v/>
      </c>
      <c r="AQ16" s="79">
        <f>IF(IF(COUNTIF(AQ4:AQ15,AQ13)&gt;=MAX(D4:D8),AQ13+3,AQ13)&gt;50,"",IF(COUNTIF(AQ4:AQ15,AQ13)&gt;=MAX(D4:D8),AQ13+3,AQ13))</f>
        <v>33</v>
      </c>
      <c r="AR16" s="1" t="str">
        <f>IF(AQ16="","",VLOOKUP(AQ16,S4:U53,3,0))</f>
        <v>p.26～p.27</v>
      </c>
      <c r="AS16" s="8" t="str">
        <f t="shared" si="7"/>
        <v/>
      </c>
      <c r="AU16" s="71">
        <f t="shared" si="8"/>
        <v>331</v>
      </c>
      <c r="AV16" s="71">
        <f>IF(OR(COUNTBLANK(AY16)=1,ISERROR(AY16)),"",COUNT(AY4:AY16))</f>
        <v>13</v>
      </c>
      <c r="AW16" s="7" t="str">
        <f t="shared" si="9"/>
        <v>ナビ・</v>
      </c>
      <c r="AX16" s="74" t="str">
        <f>IF(ISERROR(INDEX(C4:C8,MATCH(I16,D4:D8,0))),"",INDEX(C4:C8,MATCH(I16,D4:D8,0)))</f>
        <v/>
      </c>
      <c r="AY16" s="79">
        <f>IF(IF(COUNTIF(AY4:AY15,AY12)&gt;=MAX(D4:D8),AY12+4,AY12)&gt;50,"",IF(COUNTIF(AY4:AY15,AY12)&gt;=MAX(D4:D8),AY12+4,AY12))</f>
        <v>33</v>
      </c>
      <c r="AZ16" s="76" t="str">
        <f>IF(AY16="","",VLOOKUP(AY16,S4:U53,3,0))</f>
        <v>p.26～p.27</v>
      </c>
      <c r="BA16" s="8" t="str">
        <f t="shared" si="10"/>
        <v/>
      </c>
      <c r="BC16" s="71">
        <f t="shared" si="11"/>
        <v>331</v>
      </c>
      <c r="BD16" s="71">
        <f>IF(OR(COUNTBLANK(BG16)=1,ISERROR(BG16)),"",COUNT(BG4:BG16))</f>
        <v>13</v>
      </c>
      <c r="BE16" s="7" t="str">
        <f t="shared" si="12"/>
        <v>ナビ・</v>
      </c>
      <c r="BF16" s="74" t="str">
        <f>IF(ISERROR(INDEX(C4:C8,MATCH(J16,D4:D8,0))),"",INDEX(C4:C8,MATCH(J16,D4:D8,0)))</f>
        <v/>
      </c>
      <c r="BG16" s="79">
        <f>IF(IF(COUNTIF(BG4:BG15,BG11)&gt;=MAX(D4:D8),BG11+5,BG11)&gt;50,"",IF(COUNTIF(BG4:BG15,BG11)&gt;=MAX(D4:D8),BG11+5,BG11))</f>
        <v>33</v>
      </c>
      <c r="BH16" s="76" t="str">
        <f>IF(BG16="","",VLOOKUP(BG16,S4:U53,3,0))</f>
        <v>p.26～p.27</v>
      </c>
      <c r="BI16" s="8" t="str">
        <f t="shared" si="13"/>
        <v/>
      </c>
      <c r="BL16" s="113">
        <v>13</v>
      </c>
      <c r="BM16" s="114">
        <v>11</v>
      </c>
      <c r="BN16" s="114" t="s">
        <v>133</v>
      </c>
      <c r="BP16" s="71">
        <f>IF(BT16="","",BT16*10+3)</f>
        <v>333</v>
      </c>
      <c r="BQ16" s="71">
        <f>IF(OR(COUNTBLANK(BT16)=1,ISERROR(BT16)),"",COUNT(BT4:BT16))</f>
        <v>13</v>
      </c>
      <c r="BR16" s="7" t="str">
        <f t="shared" si="18"/>
        <v>ナビ・</v>
      </c>
      <c r="BS16" s="1" t="str">
        <f t="shared" si="19"/>
        <v/>
      </c>
      <c r="BT16" s="79">
        <f>IF(IF(COUNTIF($BT$4:BT15,BT15)&gt;=MAX($D$4:$D$8),BT15+1,BT15)&gt;55,"",IF(COUNTIF($BT$4:BT15,BT15)&gt;=MAX($D$4:$D$8),BT15+1,BT15))</f>
        <v>33</v>
      </c>
      <c r="BU16" s="1" t="str">
        <f t="shared" si="20"/>
        <v>p.16～p.17</v>
      </c>
      <c r="BV16" s="8" t="str">
        <f t="shared" si="21"/>
        <v/>
      </c>
      <c r="BX16" s="71">
        <f t="shared" si="22"/>
        <v>331</v>
      </c>
      <c r="BY16" s="71">
        <f>IF(OR(COUNTBLANK(CB16)=1,ISERROR(CB16)),"",COUNT($CB$4:CB16))</f>
        <v>13</v>
      </c>
      <c r="BZ16" s="7" t="str">
        <f t="shared" si="23"/>
        <v>ナビ・</v>
      </c>
      <c r="CA16" s="1" t="str">
        <f t="shared" si="24"/>
        <v/>
      </c>
      <c r="CB16" s="79">
        <f>IF(IF(COUNTIF($CB$4:CB15,CB14)&gt;=MAX($D$4:$D$8),CB14+2,CB14)&gt;55,"",IF(COUNTIF($CB$4:CB15,CB14)&gt;=MAX($D$4:$D$8),CB14+2,CB14))</f>
        <v>33</v>
      </c>
      <c r="CC16" s="1" t="str">
        <f t="shared" si="25"/>
        <v>p.16～p.17</v>
      </c>
      <c r="CD16" s="8" t="str">
        <f t="shared" si="26"/>
        <v/>
      </c>
      <c r="CF16" s="71">
        <f t="shared" si="46"/>
        <v>331</v>
      </c>
      <c r="CG16" s="71">
        <f>IF(OR(COUNTBLANK(CJ16)=1,ISERROR(CJ16)),"",COUNT($CJ$4:CJ16))</f>
        <v>13</v>
      </c>
      <c r="CH16" s="7" t="str">
        <f t="shared" si="47"/>
        <v>ナビ・</v>
      </c>
      <c r="CI16" s="1" t="str">
        <f t="shared" si="48"/>
        <v/>
      </c>
      <c r="CJ16" s="79">
        <f>IF(IF(COUNTIF($CJ$4:CJ15,CJ13)&gt;=MAX($D$4:$D$8),CJ13+3,CJ13)&gt;55,"",IF(COUNTIF($CJ$4:CJ15,CJ13)&gt;=MAX($D$4:$D$8),CJ13+3,CJ13))</f>
        <v>33</v>
      </c>
      <c r="CK16" s="1" t="str">
        <f t="shared" si="30"/>
        <v>p.16～p.17</v>
      </c>
      <c r="CL16" s="8" t="str">
        <f t="shared" si="49"/>
        <v/>
      </c>
      <c r="CN16" s="71">
        <f t="shared" si="51"/>
        <v>331</v>
      </c>
      <c r="CO16" s="71">
        <f>IF(OR(COUNTBLANK(CR16)=1,ISERROR(CR16)),"",COUNT($CR$4:CR16))</f>
        <v>13</v>
      </c>
      <c r="CP16" s="7" t="str">
        <f t="shared" si="52"/>
        <v>ナビ・</v>
      </c>
      <c r="CQ16" s="1" t="str">
        <f t="shared" si="53"/>
        <v/>
      </c>
      <c r="CR16" s="79">
        <f>IF(IF(COUNTIF($CR$4:CR15,CR12)&gt;=MAX($D$4:$D$8),CR12+4,CR12)&gt;55,"",IF(COUNTIF($CR$4:CR15,CR12)&gt;=MAX($D$4:$D$8),CR12+4,CR12))</f>
        <v>33</v>
      </c>
      <c r="CS16" s="1" t="str">
        <f t="shared" si="35"/>
        <v>p.16～p.17</v>
      </c>
      <c r="CT16" s="8" t="str">
        <f t="shared" si="54"/>
        <v/>
      </c>
      <c r="CV16" s="71">
        <f t="shared" si="56"/>
        <v>331</v>
      </c>
      <c r="CW16" s="71">
        <f>IF(OR(COUNTBLANK(CZ16)=1,ISERROR(CZ16)),"",COUNT($CZ$4:CZ16))</f>
        <v>13</v>
      </c>
      <c r="CX16" s="7" t="str">
        <f t="shared" si="57"/>
        <v>ナビ・</v>
      </c>
      <c r="CY16" s="1" t="str">
        <f t="shared" si="58"/>
        <v/>
      </c>
      <c r="CZ16" s="79">
        <f>IF(IF(COUNTIF($CZ$4:CZ15,CZ11)&gt;=MAX($D$4:$D$8),CZ11+5,CZ11)&gt;55,"",IF(COUNTIF($CZ$4:CZ15,CZ11)&gt;=MAX($D$4:$D$8),CZ11+5,CZ11))</f>
        <v>33</v>
      </c>
      <c r="DA16" s="1" t="str">
        <f t="shared" si="40"/>
        <v>p.16～p.17</v>
      </c>
      <c r="DB16" s="8" t="str">
        <f t="shared" si="59"/>
        <v/>
      </c>
    </row>
    <row r="17" spans="1:106" x14ac:dyDescent="0.15">
      <c r="A17" t="s">
        <v>58</v>
      </c>
      <c r="B17" s="118">
        <f>IF(設定入力!C24="○",IF(設定入力!E1=1,C27*10+INDEX(D4:D8,MATCH(B27,C4:C8,0)),(C27+20)*10+INDEX(D4:D8,MATCH(B27,C4:C8,0))),IF(設定入力!E1=1,C20*10+1,(C20+20)*10+1))</f>
        <v>211</v>
      </c>
      <c r="E17" s="1">
        <v>14</v>
      </c>
      <c r="F17" s="1">
        <f t="shared" si="42"/>
        <v>1</v>
      </c>
      <c r="G17" s="1">
        <f t="shared" si="60"/>
        <v>1</v>
      </c>
      <c r="H17" s="1">
        <f t="shared" si="45"/>
        <v>1</v>
      </c>
      <c r="I17" s="1">
        <f t="shared" si="50"/>
        <v>1</v>
      </c>
      <c r="J17" s="1">
        <f t="shared" si="55"/>
        <v>1</v>
      </c>
      <c r="L17" s="1" t="str">
        <f>IF(ISERROR(HLOOKUP($C$10,$F$3:$J$253,15,0)),"",HLOOKUP($C$10,$F$3:$J$253,15,0))</f>
        <v/>
      </c>
      <c r="M17" s="81" t="str">
        <f>IF(設定入力!E18="","",設定入力!E18)</f>
        <v/>
      </c>
      <c r="O17" s="6" t="str">
        <f>IF(設定入力!$E$1=2,IF(OR(M17=0,M17="",COUNT($M$1)=0),"",IF($M$1+SUM($M$4:M16)&gt;$Q$1,"",$M$1+SUM($M$4:M16))),IF(OR(M17=0,M17="",COUNT($M$2)=0),"",IF($M$2+SUM($M$4:M16)&gt;$Q$1,"",$M$2+SUM($M$4:M16))))</f>
        <v/>
      </c>
      <c r="P17" s="4" t="str">
        <f t="shared" si="14"/>
        <v/>
      </c>
      <c r="Q17" s="4" t="str">
        <f t="shared" si="15"/>
        <v/>
      </c>
      <c r="S17" s="9">
        <v>14</v>
      </c>
      <c r="T17" s="1">
        <v>14</v>
      </c>
      <c r="U17" s="1" t="s">
        <v>28</v>
      </c>
      <c r="W17" s="71">
        <f t="shared" si="16"/>
        <v>341</v>
      </c>
      <c r="X17" s="71">
        <f>IF(OR(COUNTBLANK(AA17)=1,ISERROR(AA17)),"",COUNT(AA4:AA17))</f>
        <v>14</v>
      </c>
      <c r="Y17" s="7" t="str">
        <f t="shared" si="0"/>
        <v>ナビ・</v>
      </c>
      <c r="Z17" s="1" t="str">
        <f t="shared" si="17"/>
        <v/>
      </c>
      <c r="AA17" s="79">
        <f>IF(IF(COUNTIF(AA4:AA16,AA16)&gt;=MAX(D4:D8),AA16+1,AA16)&gt;50,"",IF(COUNTIF(AA4:AA16,AA16)&gt;=MAX(D4:D8),AA16+1,AA16))</f>
        <v>34</v>
      </c>
      <c r="AB17" s="1" t="str">
        <f>IF(AA17="","",VLOOKUP(AA17,S4:U53,3,0))</f>
        <v>p.28～p.29</v>
      </c>
      <c r="AC17" s="8" t="str">
        <f t="shared" si="1"/>
        <v/>
      </c>
      <c r="AE17" s="71">
        <f t="shared" si="2"/>
        <v>341</v>
      </c>
      <c r="AF17" s="71">
        <f>IF(OR(COUNTBLANK(AI17)=1,ISERROR(AI17)),"",COUNT(AI4:AI17))</f>
        <v>14</v>
      </c>
      <c r="AG17" s="7" t="str">
        <f t="shared" si="3"/>
        <v>ナビ・</v>
      </c>
      <c r="AH17" s="1" t="str">
        <f>IF(ISERROR(INDEX(C4:C8,MATCH(G17,D4:D8,0))),"",INDEX(C4:C8,MATCH(G17,D4:D8,0)))</f>
        <v/>
      </c>
      <c r="AI17" s="79">
        <f>IF(IF(COUNTIF(AI4:AI15,AI15)&gt;=MAX(D4:D8),AI15+2,AI15)&gt;50,"",IF(COUNTIF(AI4:AI15,AI15)&gt;=MAX(D4:D8),AI15+2,AI15))</f>
        <v>34</v>
      </c>
      <c r="AJ17" s="1" t="str">
        <f>IF(AI17="","",VLOOKUP(AI17,S4:U53,3,0))</f>
        <v>p.28～p.29</v>
      </c>
      <c r="AK17" s="8" t="str">
        <f t="shared" si="4"/>
        <v/>
      </c>
      <c r="AM17" s="71">
        <f t="shared" si="5"/>
        <v>341</v>
      </c>
      <c r="AN17" s="71">
        <f>IF(OR(COUNTBLANK(AQ17)=1,ISERROR(AQ17)),"",COUNT(AQ4:AQ17))</f>
        <v>14</v>
      </c>
      <c r="AO17" s="7" t="str">
        <f t="shared" si="6"/>
        <v>ナビ・</v>
      </c>
      <c r="AP17" s="1" t="str">
        <f>IF(ISERROR(INDEX(C4:C8,MATCH(H17,D4:D8,0))),"",INDEX(C4:C8,MATCH(H17,D4:D8,0)))</f>
        <v/>
      </c>
      <c r="AQ17" s="79">
        <f>IF(IF(COUNTIF(AQ4:AQ16,AQ14)&gt;=MAX(D4:D8),AQ14+3,AQ14)&gt;50,"",IF(COUNTIF(AQ4:AQ16,AQ14)&gt;=MAX(D4:D8),AQ14+3,AQ14))</f>
        <v>34</v>
      </c>
      <c r="AR17" s="1" t="str">
        <f>IF(AQ17="","",VLOOKUP(AQ17,S4:U53,3,0))</f>
        <v>p.28～p.29</v>
      </c>
      <c r="AS17" s="8" t="str">
        <f t="shared" si="7"/>
        <v/>
      </c>
      <c r="AU17" s="71">
        <f t="shared" si="8"/>
        <v>341</v>
      </c>
      <c r="AV17" s="71">
        <f>IF(OR(COUNTBLANK(AY17)=1,ISERROR(AY17)),"",COUNT(AY4:AY17))</f>
        <v>14</v>
      </c>
      <c r="AW17" s="7" t="str">
        <f t="shared" si="9"/>
        <v>ナビ・</v>
      </c>
      <c r="AX17" s="74" t="str">
        <f>IF(ISERROR(INDEX(C4:C8,MATCH(I17,D4:D8,0))),"",INDEX(C4:C8,MATCH(I17,D4:D8,0)))</f>
        <v/>
      </c>
      <c r="AY17" s="79">
        <f>IF(IF(COUNTIF(AY4:AY16,AY13)&gt;=MAX(D4:D8),AY13+4,AY13)&gt;50,"",IF(COUNTIF(AY4:AY16,AY13)&gt;=MAX(D4:D8),AY13+4,AY13))</f>
        <v>34</v>
      </c>
      <c r="AZ17" s="76" t="str">
        <f>IF(AY17="","",VLOOKUP(AY17,S4:U53,3,0))</f>
        <v>p.28～p.29</v>
      </c>
      <c r="BA17" s="8" t="str">
        <f t="shared" si="10"/>
        <v/>
      </c>
      <c r="BC17" s="71">
        <f t="shared" si="11"/>
        <v>341</v>
      </c>
      <c r="BD17" s="71">
        <f>IF(OR(COUNTBLANK(BG17)=1,ISERROR(BG17)),"",COUNT(BG4:BG17))</f>
        <v>14</v>
      </c>
      <c r="BE17" s="7" t="str">
        <f t="shared" si="12"/>
        <v>ナビ・</v>
      </c>
      <c r="BF17" s="74" t="str">
        <f>IF(ISERROR(INDEX(C4:C8,MATCH(J17,D4:D8,0))),"",INDEX(C4:C8,MATCH(J17,D4:D8,0)))</f>
        <v/>
      </c>
      <c r="BG17" s="79">
        <f>IF(IF(COUNTIF(BG4:BG16,BG12)&gt;=MAX(D4:D8),BG12+5,BG12)&gt;50,"",IF(COUNTIF(BG4:BG16,BG12)&gt;=MAX(D4:D8),BG12+5,BG12))</f>
        <v>34</v>
      </c>
      <c r="BH17" s="76" t="str">
        <f>IF(BG17="","",VLOOKUP(BG17,S4:U53,3,0))</f>
        <v>p.28～p.29</v>
      </c>
      <c r="BI17" s="8" t="str">
        <f t="shared" si="13"/>
        <v/>
      </c>
      <c r="BL17" s="113">
        <v>14</v>
      </c>
      <c r="BM17" s="114">
        <v>12</v>
      </c>
      <c r="BN17" s="114" t="s">
        <v>134</v>
      </c>
      <c r="BP17" s="71">
        <f>IF(BT17="","",BT17*10+4)</f>
        <v>344</v>
      </c>
      <c r="BQ17" s="71">
        <f>IF(OR(COUNTBLANK(BT17)=1,ISERROR(BT17)),"",COUNT(BT4:BT17))</f>
        <v>14</v>
      </c>
      <c r="BR17" s="7" t="str">
        <f t="shared" si="18"/>
        <v>ナビ・</v>
      </c>
      <c r="BS17" s="1" t="str">
        <f t="shared" si="19"/>
        <v/>
      </c>
      <c r="BT17" s="79">
        <f>IF(IF(COUNTIF($BT$4:BT16,BT16)&gt;=MAX($D$4:$D$8),BT16+1,BT16)&gt;55,"",IF(COUNTIF($BT$4:BT16,BT16)&gt;=MAX($D$4:$D$8),BT16+1,BT16))</f>
        <v>34</v>
      </c>
      <c r="BU17" s="1" t="str">
        <f t="shared" si="20"/>
        <v>p.18～p.19</v>
      </c>
      <c r="BV17" s="8" t="str">
        <f t="shared" si="21"/>
        <v/>
      </c>
      <c r="BX17" s="71">
        <f t="shared" si="22"/>
        <v>341</v>
      </c>
      <c r="BY17" s="71">
        <f>IF(OR(COUNTBLANK(CB17)=1,ISERROR(CB17)),"",COUNT($CB$4:CB17))</f>
        <v>14</v>
      </c>
      <c r="BZ17" s="7" t="str">
        <f t="shared" si="23"/>
        <v>ナビ・</v>
      </c>
      <c r="CA17" s="1" t="str">
        <f t="shared" si="24"/>
        <v/>
      </c>
      <c r="CB17" s="79">
        <f>IF(IF(COUNTIF($CB$4:CB16,CB15)&gt;=MAX($D$4:$D$8),CB15+2,CB15)&gt;55,"",IF(COUNTIF($CB$4:CB16,CB15)&gt;=MAX($D$4:$D$8),CB15+2,CB15))</f>
        <v>34</v>
      </c>
      <c r="CC17" s="1" t="str">
        <f t="shared" si="25"/>
        <v>p.18～p.19</v>
      </c>
      <c r="CD17" s="8" t="str">
        <f t="shared" si="26"/>
        <v/>
      </c>
      <c r="CF17" s="71">
        <f t="shared" si="46"/>
        <v>341</v>
      </c>
      <c r="CG17" s="71">
        <f>IF(OR(COUNTBLANK(CJ17)=1,ISERROR(CJ17)),"",COUNT($CJ$4:CJ17))</f>
        <v>14</v>
      </c>
      <c r="CH17" s="7" t="str">
        <f t="shared" si="47"/>
        <v>ナビ・</v>
      </c>
      <c r="CI17" s="1" t="str">
        <f t="shared" si="48"/>
        <v/>
      </c>
      <c r="CJ17" s="79">
        <f>IF(IF(COUNTIF($CJ$4:CJ16,CJ14)&gt;=MAX($D$4:$D$8),CJ14+3,CJ14)&gt;55,"",IF(COUNTIF($CJ$4:CJ16,CJ14)&gt;=MAX($D$4:$D$8),CJ14+3,CJ14))</f>
        <v>34</v>
      </c>
      <c r="CK17" s="1" t="str">
        <f t="shared" si="30"/>
        <v>p.18～p.19</v>
      </c>
      <c r="CL17" s="8" t="str">
        <f t="shared" si="49"/>
        <v/>
      </c>
      <c r="CN17" s="71">
        <f t="shared" si="51"/>
        <v>341</v>
      </c>
      <c r="CO17" s="71">
        <f>IF(OR(COUNTBLANK(CR17)=1,ISERROR(CR17)),"",COUNT($CR$4:CR17))</f>
        <v>14</v>
      </c>
      <c r="CP17" s="7" t="str">
        <f t="shared" si="52"/>
        <v>ナビ・</v>
      </c>
      <c r="CQ17" s="1" t="str">
        <f t="shared" si="53"/>
        <v/>
      </c>
      <c r="CR17" s="79">
        <f>IF(IF(COUNTIF($CR$4:CR16,CR13)&gt;=MAX($D$4:$D$8),CR13+4,CR13)&gt;55,"",IF(COUNTIF($CR$4:CR16,CR13)&gt;=MAX($D$4:$D$8),CR13+4,CR13))</f>
        <v>34</v>
      </c>
      <c r="CS17" s="1" t="str">
        <f t="shared" si="35"/>
        <v>p.18～p.19</v>
      </c>
      <c r="CT17" s="8" t="str">
        <f t="shared" si="54"/>
        <v/>
      </c>
      <c r="CV17" s="71">
        <f t="shared" si="56"/>
        <v>341</v>
      </c>
      <c r="CW17" s="71">
        <f>IF(OR(COUNTBLANK(CZ17)=1,ISERROR(CZ17)),"",COUNT($CZ$4:CZ17))</f>
        <v>14</v>
      </c>
      <c r="CX17" s="7" t="str">
        <f t="shared" si="57"/>
        <v>ナビ・</v>
      </c>
      <c r="CY17" s="1" t="str">
        <f t="shared" si="58"/>
        <v/>
      </c>
      <c r="CZ17" s="79">
        <f>IF(IF(COUNTIF($CZ$4:CZ16,CZ12)&gt;=MAX($D$4:$D$8),CZ12+5,CZ12)&gt;55,"",IF(COUNTIF($CZ$4:CZ16,CZ12)&gt;=MAX($D$4:$D$8),CZ12+5,CZ12))</f>
        <v>34</v>
      </c>
      <c r="DA17" s="1" t="str">
        <f t="shared" si="40"/>
        <v>p.18～p.19</v>
      </c>
      <c r="DB17" s="8" t="str">
        <f t="shared" si="59"/>
        <v/>
      </c>
    </row>
    <row r="18" spans="1:106" x14ac:dyDescent="0.15">
      <c r="A18" s="122" t="s">
        <v>155</v>
      </c>
      <c r="B18" s="125">
        <f>IF(設定入力!C24="○",C28*10+INDEX(D4:D8,MATCH(B28,C4:C8,0)),C21*10+1)</f>
        <v>11</v>
      </c>
      <c r="E18" s="1">
        <v>15</v>
      </c>
      <c r="F18" s="1">
        <f t="shared" si="42"/>
        <v>1</v>
      </c>
      <c r="G18" s="1">
        <f t="shared" si="60"/>
        <v>1</v>
      </c>
      <c r="H18" s="1">
        <f t="shared" si="45"/>
        <v>1</v>
      </c>
      <c r="I18" s="1">
        <f t="shared" si="50"/>
        <v>1</v>
      </c>
      <c r="J18" s="1">
        <f t="shared" si="55"/>
        <v>1</v>
      </c>
      <c r="L18" s="1" t="str">
        <f>IF(ISERROR(HLOOKUP($C$10,$F$3:$J$253,16,0)),"",HLOOKUP($C$10,$F$3:$J$253,16,0))</f>
        <v/>
      </c>
      <c r="M18" s="81" t="str">
        <f>IF(設定入力!E19="","",設定入力!E19)</f>
        <v/>
      </c>
      <c r="O18" s="6" t="str">
        <f>IF(設定入力!$E$1=2,IF(OR(M18=0,M18="",COUNT($M$1)=0),"",IF($M$1+SUM($M$4:M17)&gt;$Q$1,"",$M$1+SUM($M$4:M17))),IF(OR(M18=0,M18="",COUNT($M$2)=0),"",IF($M$2+SUM($M$4:M17)&gt;$Q$1,"",$M$2+SUM($M$4:M17))))</f>
        <v/>
      </c>
      <c r="P18" s="4" t="str">
        <f t="shared" si="14"/>
        <v/>
      </c>
      <c r="Q18" s="4" t="str">
        <f t="shared" si="15"/>
        <v/>
      </c>
      <c r="S18" s="9">
        <v>15</v>
      </c>
      <c r="T18" s="1">
        <v>15</v>
      </c>
      <c r="U18" s="1" t="s">
        <v>29</v>
      </c>
      <c r="W18" s="71">
        <f t="shared" si="16"/>
        <v>351</v>
      </c>
      <c r="X18" s="71">
        <f>IF(OR(COUNTBLANK(AA18)=1,ISERROR(AA18)),"",COUNT(AA4:AA18))</f>
        <v>15</v>
      </c>
      <c r="Y18" s="7" t="str">
        <f t="shared" si="0"/>
        <v>ナビ・</v>
      </c>
      <c r="Z18" s="1" t="str">
        <f t="shared" si="17"/>
        <v/>
      </c>
      <c r="AA18" s="79">
        <f>IF(IF(COUNTIF(AA4:AA17,AA17)&gt;=MAX(D4:D8),AA17+1,AA17)&gt;50,"",IF(COUNTIF(AA4:AA17,AA17)&gt;=MAX(D4:D8),AA17+1,AA17))</f>
        <v>35</v>
      </c>
      <c r="AB18" s="1" t="str">
        <f>IF(AA18="","",VLOOKUP(AA18,S4:U53,3,0))</f>
        <v>p.30～p.31</v>
      </c>
      <c r="AC18" s="8" t="str">
        <f t="shared" si="1"/>
        <v/>
      </c>
      <c r="AE18" s="71">
        <f t="shared" si="2"/>
        <v>351</v>
      </c>
      <c r="AF18" s="71">
        <f>IF(OR(COUNTBLANK(AI18)=1,ISERROR(AI18)),"",COUNT(AI4:AI18))</f>
        <v>15</v>
      </c>
      <c r="AG18" s="7" t="str">
        <f t="shared" si="3"/>
        <v>ナビ・</v>
      </c>
      <c r="AH18" s="1" t="str">
        <f>IF(ISERROR(INDEX(C4:C8,MATCH(G18,D4:D8,0))),"",INDEX(C4:C8,MATCH(G18,D4:D8,0)))</f>
        <v/>
      </c>
      <c r="AI18" s="79">
        <f>IF(IF(COUNTIF(AI4:AI17,AI16)&gt;=MAX(D4:D8),AI16+2,AI16)&gt;50,"",IF(COUNTIF(AI4:AI17,AI16)&gt;=MAX(D4:D8),AI16+2,AI16))</f>
        <v>35</v>
      </c>
      <c r="AJ18" s="1" t="str">
        <f>IF(AI18="","",VLOOKUP(AI18,S4:U53,3,0))</f>
        <v>p.30～p.31</v>
      </c>
      <c r="AK18" s="8" t="str">
        <f t="shared" si="4"/>
        <v/>
      </c>
      <c r="AM18" s="71">
        <f t="shared" si="5"/>
        <v>351</v>
      </c>
      <c r="AN18" s="71">
        <f>IF(OR(COUNTBLANK(AQ18)=1,ISERROR(AQ18)),"",COUNT(AQ4:AQ18))</f>
        <v>15</v>
      </c>
      <c r="AO18" s="7" t="str">
        <f t="shared" si="6"/>
        <v>ナビ・</v>
      </c>
      <c r="AP18" s="1" t="str">
        <f>IF(ISERROR(INDEX(C4:C8,MATCH(H18,D4:D8,0))),"",INDEX(C4:C8,MATCH(H18,D4:D8,0)))</f>
        <v/>
      </c>
      <c r="AQ18" s="79">
        <f>IF(IF(COUNTIF(AQ4:AQ17,AQ15)&gt;=MAX(D4:D8),AQ15+3,AQ15)&gt;50,"",IF(COUNTIF(AQ4:AQ17,AQ15)&gt;=MAX(D4:D8),AQ15+3,AQ15))</f>
        <v>35</v>
      </c>
      <c r="AR18" s="1" t="str">
        <f>IF(AQ18="","",VLOOKUP(AQ18,S4:U53,3,0))</f>
        <v>p.30～p.31</v>
      </c>
      <c r="AS18" s="8" t="str">
        <f t="shared" si="7"/>
        <v/>
      </c>
      <c r="AU18" s="71">
        <f t="shared" si="8"/>
        <v>351</v>
      </c>
      <c r="AV18" s="71">
        <f>IF(OR(COUNTBLANK(AY18)=1,ISERROR(AY18)),"",COUNT(AY4:AY18))</f>
        <v>15</v>
      </c>
      <c r="AW18" s="7" t="str">
        <f t="shared" si="9"/>
        <v>ナビ・</v>
      </c>
      <c r="AX18" s="74" t="str">
        <f>IF(ISERROR(INDEX(C4:C8,MATCH(I18,D4:D8,0))),"",INDEX(C4:C8,MATCH(I18,D4:D8,0)))</f>
        <v/>
      </c>
      <c r="AY18" s="79">
        <f>IF(IF(COUNTIF(AY4:AY17,AY14)&gt;=MAX(D4:D8),AY14+4,AY14)&gt;50,"",IF(COUNTIF(AY4:AY17,AY14)&gt;=MAX(D4:D8),AY14+4,AY14))</f>
        <v>35</v>
      </c>
      <c r="AZ18" s="76" t="str">
        <f>IF(AY18="","",VLOOKUP(AY18,S4:U53,3,0))</f>
        <v>p.30～p.31</v>
      </c>
      <c r="BA18" s="8" t="str">
        <f t="shared" si="10"/>
        <v/>
      </c>
      <c r="BC18" s="71">
        <f t="shared" si="11"/>
        <v>351</v>
      </c>
      <c r="BD18" s="71">
        <f>IF(OR(COUNTBLANK(BG18)=1,ISERROR(BG18)),"",COUNT(BG4:BG18))</f>
        <v>15</v>
      </c>
      <c r="BE18" s="7" t="str">
        <f t="shared" si="12"/>
        <v>ナビ・</v>
      </c>
      <c r="BF18" s="74" t="str">
        <f>IF(ISERROR(INDEX(C4:C8,MATCH(J18,D4:D8,0))),"",INDEX(C4:C8,MATCH(J18,D4:D8,0)))</f>
        <v/>
      </c>
      <c r="BG18" s="79">
        <f>IF(IF(COUNTIF(BG4:BG17,BG13)&gt;=MAX(D4:D8),BG13+5,BG13)&gt;50,"",IF(COUNTIF(BG4:BG17,BG13)&gt;=MAX(D4:D8),BG13+5,BG13))</f>
        <v>35</v>
      </c>
      <c r="BH18" s="76" t="str">
        <f>IF(BG18="","",VLOOKUP(BG18,S4:U53,3,0))</f>
        <v>p.30～p.31</v>
      </c>
      <c r="BI18" s="8" t="str">
        <f t="shared" si="13"/>
        <v/>
      </c>
      <c r="BL18" s="113">
        <v>15</v>
      </c>
      <c r="BM18" s="114" t="s">
        <v>118</v>
      </c>
      <c r="BN18" s="114" t="s">
        <v>135</v>
      </c>
      <c r="BP18" s="71">
        <f>IF(BT18="","",BT18*10+5)</f>
        <v>355</v>
      </c>
      <c r="BQ18" s="71">
        <f>IF(OR(COUNTBLANK(BT18)=1,ISERROR(BT18)),"",COUNT(BT4:BT18))</f>
        <v>15</v>
      </c>
      <c r="BR18" s="7" t="str">
        <f t="shared" si="18"/>
        <v>ナビ・</v>
      </c>
      <c r="BS18" s="1" t="str">
        <f t="shared" si="19"/>
        <v/>
      </c>
      <c r="BT18" s="79">
        <f>IF(IF(COUNTIF($BT$4:BT17,BT17)&gt;=MAX($D$4:$D$8),BT17+1,BT17)&gt;55,"",IF(COUNTIF($BT$4:BT17,BT17)&gt;=MAX($D$4:$D$8),BT17+1,BT17))</f>
        <v>35</v>
      </c>
      <c r="BU18" s="1" t="str">
        <f t="shared" si="20"/>
        <v>p.20～p.21</v>
      </c>
      <c r="BV18" s="8" t="str">
        <f t="shared" si="21"/>
        <v/>
      </c>
      <c r="BX18" s="71">
        <f t="shared" si="22"/>
        <v>351</v>
      </c>
      <c r="BY18" s="71">
        <f>IF(OR(COUNTBLANK(CB18)=1,ISERROR(CB18)),"",COUNT($CB$4:CB18))</f>
        <v>15</v>
      </c>
      <c r="BZ18" s="7" t="str">
        <f t="shared" si="23"/>
        <v>ナビ・</v>
      </c>
      <c r="CA18" s="1" t="str">
        <f t="shared" si="24"/>
        <v/>
      </c>
      <c r="CB18" s="79">
        <f>IF(IF(COUNTIF($CB$4:CB17,CB16)&gt;=MAX($D$4:$D$8),CB16+2,CB16)&gt;55,"",IF(COUNTIF($CB$4:CB17,CB16)&gt;=MAX($D$4:$D$8),CB16+2,CB16))</f>
        <v>35</v>
      </c>
      <c r="CC18" s="1" t="str">
        <f t="shared" si="25"/>
        <v>p.20～p.21</v>
      </c>
      <c r="CD18" s="8" t="str">
        <f t="shared" si="26"/>
        <v/>
      </c>
      <c r="CF18" s="71">
        <f t="shared" ref="CF18:CF81" si="61">IF(CJ18="","",CJ18*10+H18)</f>
        <v>351</v>
      </c>
      <c r="CG18" s="71">
        <f>IF(OR(COUNTBLANK(CJ18)=1,ISERROR(CJ18)),"",COUNT($CJ$4:CJ18))</f>
        <v>15</v>
      </c>
      <c r="CH18" s="7" t="str">
        <f t="shared" ref="CH18:CH81" si="62">IF(CJ18&gt;25,"ナビ・","1・2年のWナビ・")</f>
        <v>ナビ・</v>
      </c>
      <c r="CI18" s="1" t="str">
        <f t="shared" ref="CI18:CI81" si="63">IF(ISERROR(INDEX($C$4:$C$8,MATCH(H18,$D$4:$D$8,0))),"",INDEX($C$4:$C$8,MATCH(H18,$D$4:$D$8,0)))</f>
        <v/>
      </c>
      <c r="CJ18" s="79">
        <f>IF(IF(COUNTIF($CJ$4:CJ17,CJ15)&gt;=MAX($D$4:$D$8),CJ15+3,CJ15)&gt;55,"",IF(COUNTIF($CJ$4:CJ17,CJ15)&gt;=MAX($D$4:$D$8),CJ15+3,CJ15))</f>
        <v>35</v>
      </c>
      <c r="CK18" s="1" t="str">
        <f t="shared" si="30"/>
        <v>p.20～p.21</v>
      </c>
      <c r="CL18" s="8" t="str">
        <f t="shared" ref="CL18:CL81" si="64">IF(ISERROR(IF(COUNTIF(CI18:CK18,"")&gt;=1,"",CH18&amp;CI18&amp;"【"&amp;VLOOKUP(CJ18,$BL$4:$BN$58,2,0)&amp;"】"&amp;CK18)),"",IF(COUNTIF(CI18:CK18,"")&gt;=1,"",CH18&amp;CI18&amp;"【"&amp;VLOOKUP(CJ18,$BL$4:$BN$58,2,0)&amp;"】"&amp;CK18))</f>
        <v/>
      </c>
      <c r="CN18" s="71">
        <f t="shared" si="51"/>
        <v>351</v>
      </c>
      <c r="CO18" s="71">
        <f>IF(OR(COUNTBLANK(CR18)=1,ISERROR(CR18)),"",COUNT($CR$4:CR18))</f>
        <v>15</v>
      </c>
      <c r="CP18" s="7" t="str">
        <f t="shared" si="52"/>
        <v>ナビ・</v>
      </c>
      <c r="CQ18" s="1" t="str">
        <f t="shared" si="53"/>
        <v/>
      </c>
      <c r="CR18" s="79">
        <f>IF(IF(COUNTIF($CR$4:CR17,CR14)&gt;=MAX($D$4:$D$8),CR14+4,CR14)&gt;55,"",IF(COUNTIF($CR$4:CR17,CR14)&gt;=MAX($D$4:$D$8),CR14+4,CR14))</f>
        <v>35</v>
      </c>
      <c r="CS18" s="1" t="str">
        <f t="shared" si="35"/>
        <v>p.20～p.21</v>
      </c>
      <c r="CT18" s="8" t="str">
        <f t="shared" si="54"/>
        <v/>
      </c>
      <c r="CV18" s="71">
        <f t="shared" si="56"/>
        <v>351</v>
      </c>
      <c r="CW18" s="71">
        <f>IF(OR(COUNTBLANK(CZ18)=1,ISERROR(CZ18)),"",COUNT($CZ$4:CZ18))</f>
        <v>15</v>
      </c>
      <c r="CX18" s="7" t="str">
        <f t="shared" si="57"/>
        <v>ナビ・</v>
      </c>
      <c r="CY18" s="1" t="str">
        <f t="shared" si="58"/>
        <v/>
      </c>
      <c r="CZ18" s="79">
        <f>IF(IF(COUNTIF($CZ$4:CZ17,CZ13)&gt;=MAX($D$4:$D$8),CZ13+5,CZ13)&gt;55,"",IF(COUNTIF($CZ$4:CZ17,CZ13)&gt;=MAX($D$4:$D$8),CZ13+5,CZ13))</f>
        <v>35</v>
      </c>
      <c r="DA18" s="1" t="str">
        <f t="shared" si="40"/>
        <v>p.20～p.21</v>
      </c>
      <c r="DB18" s="8" t="str">
        <f t="shared" si="59"/>
        <v/>
      </c>
    </row>
    <row r="19" spans="1:106" x14ac:dyDescent="0.15">
      <c r="A19" t="s">
        <v>78</v>
      </c>
      <c r="B19" t="s">
        <v>59</v>
      </c>
      <c r="C19" t="s">
        <v>14</v>
      </c>
      <c r="E19" s="1">
        <v>16</v>
      </c>
      <c r="F19" s="1">
        <f t="shared" si="42"/>
        <v>1</v>
      </c>
      <c r="G19" s="1">
        <f t="shared" si="60"/>
        <v>1</v>
      </c>
      <c r="H19" s="1">
        <f t="shared" si="45"/>
        <v>1</v>
      </c>
      <c r="I19" s="1">
        <f t="shared" si="50"/>
        <v>1</v>
      </c>
      <c r="J19" s="1">
        <f t="shared" si="55"/>
        <v>1</v>
      </c>
      <c r="L19" s="1" t="str">
        <f>IF(ISERROR(HLOOKUP($C$10,$F$3:$J$253,17,0)),"",HLOOKUP($C$10,$F$3:$J$253,17,0))</f>
        <v/>
      </c>
      <c r="M19" s="81" t="str">
        <f>IF(設定入力!E20="","",設定入力!E20)</f>
        <v/>
      </c>
      <c r="O19" s="6" t="str">
        <f>IF(設定入力!$E$1=2,IF(OR(M19=0,M19="",COUNT($M$1)=0),"",IF($M$1+SUM($M$4:M18)&gt;$Q$1,"",$M$1+SUM($M$4:M18))),IF(OR(M19=0,M19="",COUNT($M$2)=0),"",IF($M$2+SUM($M$4:M18)&gt;$Q$1,"",$M$2+SUM($M$4:M18))))</f>
        <v/>
      </c>
      <c r="P19" s="4" t="str">
        <f t="shared" si="14"/>
        <v/>
      </c>
      <c r="Q19" s="4" t="str">
        <f t="shared" si="15"/>
        <v/>
      </c>
      <c r="S19" s="9">
        <v>16</v>
      </c>
      <c r="T19" s="1">
        <v>16</v>
      </c>
      <c r="U19" s="1" t="s">
        <v>30</v>
      </c>
      <c r="W19" s="71">
        <f t="shared" si="16"/>
        <v>361</v>
      </c>
      <c r="X19" s="71">
        <f>IF(OR(COUNTBLANK(AA19)=1,ISERROR(AA19)),"",COUNT(AA4:AA19))</f>
        <v>16</v>
      </c>
      <c r="Y19" s="7" t="str">
        <f t="shared" si="0"/>
        <v>ナビ・</v>
      </c>
      <c r="Z19" s="1" t="str">
        <f t="shared" si="17"/>
        <v/>
      </c>
      <c r="AA19" s="79">
        <f>IF(IF(COUNTIF(AA4:AA18,AA18)&gt;=MAX(D4:D8),AA18+1,AA18)&gt;50,"",IF(COUNTIF(AA4:AA18,AA18)&gt;=MAX(D4:D8),AA18+1,AA18))</f>
        <v>36</v>
      </c>
      <c r="AB19" s="1" t="str">
        <f>IF(AA19="","",VLOOKUP(AA19,S4:U53,3,0))</f>
        <v>p.32～p.33</v>
      </c>
      <c r="AC19" s="8" t="str">
        <f t="shared" si="1"/>
        <v/>
      </c>
      <c r="AE19" s="71">
        <f t="shared" si="2"/>
        <v>361</v>
      </c>
      <c r="AF19" s="71">
        <f>IF(OR(COUNTBLANK(AI19)=1,ISERROR(AI19)),"",COUNT(AI4:AI19))</f>
        <v>16</v>
      </c>
      <c r="AG19" s="7" t="str">
        <f t="shared" si="3"/>
        <v>ナビ・</v>
      </c>
      <c r="AH19" s="1" t="str">
        <f>IF(ISERROR(INDEX(C4:C8,MATCH(G19,D4:D8,0))),"",INDEX(C4:C8,MATCH(G19,D4:D8,0)))</f>
        <v/>
      </c>
      <c r="AI19" s="79">
        <f>IF(IF(COUNTIF(AI4:AI17,AI17)&gt;=MAX(D4:D8),AI17+2,AI17)&gt;50,"",IF(COUNTIF(AI4:AI17,AI17)&gt;=MAX(D4:D8),AI17+2,AI17))</f>
        <v>36</v>
      </c>
      <c r="AJ19" s="1" t="str">
        <f>IF(AI19="","",VLOOKUP(AI19,S4:U53,3,0))</f>
        <v>p.32～p.33</v>
      </c>
      <c r="AK19" s="8" t="str">
        <f t="shared" si="4"/>
        <v/>
      </c>
      <c r="AM19" s="71">
        <f t="shared" si="5"/>
        <v>361</v>
      </c>
      <c r="AN19" s="71">
        <f>IF(OR(COUNTBLANK(AQ19)=1,ISERROR(AQ19)),"",COUNT(AQ4:AQ19))</f>
        <v>16</v>
      </c>
      <c r="AO19" s="7" t="str">
        <f t="shared" si="6"/>
        <v>ナビ・</v>
      </c>
      <c r="AP19" s="1" t="str">
        <f>IF(ISERROR(INDEX(C4:C8,MATCH(H19,D4:D8,0))),"",INDEX(C4:C8,MATCH(H19,D4:D8,0)))</f>
        <v/>
      </c>
      <c r="AQ19" s="79">
        <f>IF(IF(COUNTIF(AQ4:AQ18,AQ16)&gt;=MAX(D4:D8),AQ16+3,AQ16)&gt;50,"",IF(COUNTIF(AQ4:AQ18,AQ16)&gt;=MAX(D4:D8),AQ16+3,AQ16))</f>
        <v>36</v>
      </c>
      <c r="AR19" s="1" t="str">
        <f>IF(AQ19="","",VLOOKUP(AQ19,S4:U53,3,0))</f>
        <v>p.32～p.33</v>
      </c>
      <c r="AS19" s="8" t="str">
        <f t="shared" si="7"/>
        <v/>
      </c>
      <c r="AU19" s="71">
        <f t="shared" si="8"/>
        <v>361</v>
      </c>
      <c r="AV19" s="71">
        <f>IF(OR(COUNTBLANK(AY19)=1,ISERROR(AY19)),"",COUNT(AY4:AY19))</f>
        <v>16</v>
      </c>
      <c r="AW19" s="7" t="str">
        <f t="shared" si="9"/>
        <v>ナビ・</v>
      </c>
      <c r="AX19" s="74" t="str">
        <f>IF(ISERROR(INDEX(C4:C8,MATCH(I19,D4:D8,0))),"",INDEX(C4:C8,MATCH(I19,D4:D8,0)))</f>
        <v/>
      </c>
      <c r="AY19" s="79">
        <f>IF(IF(COUNTIF(AY4:AY18,AY15)&gt;=MAX(D4:D8),AY15+4,AY15)&gt;50,"",IF(COUNTIF(AY4:AY18,AY15)&gt;=MAX(D4:D8),AY15+4,AY15))</f>
        <v>36</v>
      </c>
      <c r="AZ19" s="76" t="str">
        <f>IF(AY19="","",VLOOKUP(AY19,S4:U53,3,0))</f>
        <v>p.32～p.33</v>
      </c>
      <c r="BA19" s="8" t="str">
        <f t="shared" si="10"/>
        <v/>
      </c>
      <c r="BC19" s="71">
        <f t="shared" si="11"/>
        <v>361</v>
      </c>
      <c r="BD19" s="71">
        <f>IF(OR(COUNTBLANK(BG19)=1,ISERROR(BG19)),"",COUNT(BG4:BG19))</f>
        <v>16</v>
      </c>
      <c r="BE19" s="7" t="str">
        <f t="shared" si="12"/>
        <v>ナビ・</v>
      </c>
      <c r="BF19" s="74" t="str">
        <f>IF(ISERROR(INDEX(C4:C8,MATCH(J19,D4:D8,0))),"",INDEX(C4:C8,MATCH(J19,D4:D8,0)))</f>
        <v/>
      </c>
      <c r="BG19" s="79">
        <f>IF(IF(COUNTIF(BG4:BG18,BG14)&gt;=MAX(D4:D8),BG14+5,BG14)&gt;50,"",IF(COUNTIF(BG4:BG18,BG14)&gt;=MAX(D4:D8),BG14+5,BG14))</f>
        <v>36</v>
      </c>
      <c r="BH19" s="76" t="str">
        <f>IF(BG19="","",VLOOKUP(BG19,S4:U53,3,0))</f>
        <v>p.32～p.33</v>
      </c>
      <c r="BI19" s="8" t="str">
        <f t="shared" si="13"/>
        <v/>
      </c>
      <c r="BL19" s="113">
        <v>16</v>
      </c>
      <c r="BM19" s="114">
        <v>13</v>
      </c>
      <c r="BN19" s="114" t="s">
        <v>136</v>
      </c>
      <c r="BP19" s="71">
        <f>IF(BT19="","",BT19*10+1)</f>
        <v>361</v>
      </c>
      <c r="BQ19" s="71">
        <f>IF(OR(COUNTBLANK(BT19)=1,ISERROR(BT19)),"",COUNT(BT4:BT19))</f>
        <v>16</v>
      </c>
      <c r="BR19" s="7" t="str">
        <f t="shared" si="18"/>
        <v>ナビ・</v>
      </c>
      <c r="BS19" s="1" t="str">
        <f t="shared" si="19"/>
        <v/>
      </c>
      <c r="BT19" s="79">
        <f>IF(IF(COUNTIF($BT$4:BT18,BT18)&gt;=MAX($D$4:$D$8),BT18+1,BT18)&gt;55,"",IF(COUNTIF($BT$4:BT18,BT18)&gt;=MAX($D$4:$D$8),BT18+1,BT18))</f>
        <v>36</v>
      </c>
      <c r="BU19" s="1" t="str">
        <f t="shared" si="20"/>
        <v>p.22～p.23</v>
      </c>
      <c r="BV19" s="8" t="str">
        <f t="shared" si="21"/>
        <v/>
      </c>
      <c r="BX19" s="71">
        <f t="shared" si="22"/>
        <v>361</v>
      </c>
      <c r="BY19" s="71">
        <f>IF(OR(COUNTBLANK(CB19)=1,ISERROR(CB19)),"",COUNT($CB$4:CB19))</f>
        <v>16</v>
      </c>
      <c r="BZ19" s="7" t="str">
        <f t="shared" si="23"/>
        <v>ナビ・</v>
      </c>
      <c r="CA19" s="1" t="str">
        <f t="shared" si="24"/>
        <v/>
      </c>
      <c r="CB19" s="79">
        <f>IF(IF(COUNTIF($CB$4:CB18,CB17)&gt;=MAX($D$4:$D$8),CB17+2,CB17)&gt;55,"",IF(COUNTIF($CB$4:CB18,CB17)&gt;=MAX($D$4:$D$8),CB17+2,CB17))</f>
        <v>36</v>
      </c>
      <c r="CC19" s="1" t="str">
        <f t="shared" si="25"/>
        <v>p.22～p.23</v>
      </c>
      <c r="CD19" s="8" t="str">
        <f t="shared" si="26"/>
        <v/>
      </c>
      <c r="CF19" s="71">
        <f t="shared" si="61"/>
        <v>361</v>
      </c>
      <c r="CG19" s="71">
        <f>IF(OR(COUNTBLANK(CJ19)=1,ISERROR(CJ19)),"",COUNT($CJ$4:CJ19))</f>
        <v>16</v>
      </c>
      <c r="CH19" s="7" t="str">
        <f t="shared" si="62"/>
        <v>ナビ・</v>
      </c>
      <c r="CI19" s="1" t="str">
        <f t="shared" si="63"/>
        <v/>
      </c>
      <c r="CJ19" s="79">
        <f>IF(IF(COUNTIF($CJ$4:CJ18,CJ16)&gt;=MAX($D$4:$D$8),CJ16+3,CJ16)&gt;55,"",IF(COUNTIF($CJ$4:CJ18,CJ16)&gt;=MAX($D$4:$D$8),CJ16+3,CJ16))</f>
        <v>36</v>
      </c>
      <c r="CK19" s="1" t="str">
        <f t="shared" si="30"/>
        <v>p.22～p.23</v>
      </c>
      <c r="CL19" s="8" t="str">
        <f t="shared" si="64"/>
        <v/>
      </c>
      <c r="CN19" s="71">
        <f t="shared" si="51"/>
        <v>361</v>
      </c>
      <c r="CO19" s="71">
        <f>IF(OR(COUNTBLANK(CR19)=1,ISERROR(CR19)),"",COUNT($CR$4:CR19))</f>
        <v>16</v>
      </c>
      <c r="CP19" s="7" t="str">
        <f t="shared" si="52"/>
        <v>ナビ・</v>
      </c>
      <c r="CQ19" s="1" t="str">
        <f t="shared" si="53"/>
        <v/>
      </c>
      <c r="CR19" s="79">
        <f>IF(IF(COUNTIF($CR$4:CR18,CR15)&gt;=MAX($D$4:$D$8),CR15+4,CR15)&gt;55,"",IF(COUNTIF($CR$4:CR18,CR15)&gt;=MAX($D$4:$D$8),CR15+4,CR15))</f>
        <v>36</v>
      </c>
      <c r="CS19" s="1" t="str">
        <f t="shared" si="35"/>
        <v>p.22～p.23</v>
      </c>
      <c r="CT19" s="8" t="str">
        <f t="shared" si="54"/>
        <v/>
      </c>
      <c r="CV19" s="71">
        <f t="shared" si="56"/>
        <v>361</v>
      </c>
      <c r="CW19" s="71">
        <f>IF(OR(COUNTBLANK(CZ19)=1,ISERROR(CZ19)),"",COUNT($CZ$4:CZ19))</f>
        <v>16</v>
      </c>
      <c r="CX19" s="7" t="str">
        <f t="shared" si="57"/>
        <v>ナビ・</v>
      </c>
      <c r="CY19" s="1" t="str">
        <f t="shared" si="58"/>
        <v/>
      </c>
      <c r="CZ19" s="79">
        <f>IF(IF(COUNTIF($CZ$4:CZ18,CZ14)&gt;=MAX($D$4:$D$8),CZ14+5,CZ14)&gt;55,"",IF(COUNTIF($CZ$4:CZ18,CZ14)&gt;=MAX($D$4:$D$8),CZ14+5,CZ14))</f>
        <v>36</v>
      </c>
      <c r="DA19" s="1" t="str">
        <f t="shared" si="40"/>
        <v>p.22～p.23</v>
      </c>
      <c r="DB19" s="8" t="str">
        <f t="shared" si="59"/>
        <v/>
      </c>
    </row>
    <row r="20" spans="1:106" x14ac:dyDescent="0.15">
      <c r="A20" t="str">
        <f>IF(設定入力!E1=1,"1・2年","色ナビ")</f>
        <v>色ナビ</v>
      </c>
      <c r="B20" t="e">
        <f>INDEX(C4:C8,MATCH(1,D4:D8,0))</f>
        <v>#N/A</v>
      </c>
      <c r="C20">
        <f>IF(設定入力!E1=2,"",IF(設定入力!C20="",1,設定入力!C20))</f>
        <v>1</v>
      </c>
      <c r="E20" s="1">
        <v>17</v>
      </c>
      <c r="F20" s="1">
        <f t="shared" si="42"/>
        <v>1</v>
      </c>
      <c r="G20" s="1">
        <f t="shared" si="60"/>
        <v>1</v>
      </c>
      <c r="H20" s="1">
        <f t="shared" si="45"/>
        <v>1</v>
      </c>
      <c r="I20" s="1">
        <f t="shared" si="50"/>
        <v>1</v>
      </c>
      <c r="J20" s="1">
        <f t="shared" si="55"/>
        <v>1</v>
      </c>
      <c r="L20" s="1" t="str">
        <f>IF(ISERROR(HLOOKUP($C$10,$F$3:$J$253,18,0)),"",HLOOKUP($C$10,$F$3:$J$253,18,0))</f>
        <v/>
      </c>
      <c r="M20" s="81" t="str">
        <f>IF(設定入力!E21="","",設定入力!E21)</f>
        <v/>
      </c>
      <c r="O20" s="6" t="str">
        <f>IF(設定入力!$E$1=2,IF(OR(M20=0,M20="",COUNT($M$1)=0),"",IF($M$1+SUM($M$4:M19)&gt;$Q$1,"",$M$1+SUM($M$4:M19))),IF(OR(M20=0,M20="",COUNT($M$2)=0),"",IF($M$2+SUM($M$4:M19)&gt;$Q$1,"",$M$2+SUM($M$4:M19))))</f>
        <v/>
      </c>
      <c r="P20" s="4" t="str">
        <f t="shared" si="14"/>
        <v/>
      </c>
      <c r="Q20" s="4" t="str">
        <f t="shared" si="15"/>
        <v/>
      </c>
      <c r="S20" s="9">
        <v>17</v>
      </c>
      <c r="T20" s="1">
        <v>17</v>
      </c>
      <c r="U20" s="1" t="s">
        <v>31</v>
      </c>
      <c r="W20" s="71">
        <f t="shared" si="16"/>
        <v>371</v>
      </c>
      <c r="X20" s="71">
        <f>IF(OR(COUNTBLANK(AA20)=1,ISERROR(AA20)),"",COUNT(AA4:AA20))</f>
        <v>17</v>
      </c>
      <c r="Y20" s="7" t="str">
        <f t="shared" si="0"/>
        <v>ナビ・</v>
      </c>
      <c r="Z20" s="1" t="str">
        <f t="shared" si="17"/>
        <v/>
      </c>
      <c r="AA20" s="79">
        <f>IF(IF(COUNTIF(AA4:AA19,AA19)&gt;=MAX(D4:D8),AA19+1,AA19)&gt;50,"",IF(COUNTIF(AA4:AA19,AA19)&gt;=MAX(D4:D8),AA19+1,AA19))</f>
        <v>37</v>
      </c>
      <c r="AB20" s="1" t="str">
        <f>IF(AA20="","",VLOOKUP(AA20,S4:U53,3,0))</f>
        <v>p.34～p.35</v>
      </c>
      <c r="AC20" s="8" t="str">
        <f t="shared" si="1"/>
        <v/>
      </c>
      <c r="AE20" s="71">
        <f t="shared" si="2"/>
        <v>371</v>
      </c>
      <c r="AF20" s="71">
        <f>IF(OR(COUNTBLANK(AI20)=1,ISERROR(AI20)),"",COUNT(AI4:AI20))</f>
        <v>17</v>
      </c>
      <c r="AG20" s="7" t="str">
        <f t="shared" si="3"/>
        <v>ナビ・</v>
      </c>
      <c r="AH20" s="1" t="str">
        <f>IF(ISERROR(INDEX(C4:C8,MATCH(G20,D4:D8,0))),"",INDEX(C4:C8,MATCH(G20,D4:D8,0)))</f>
        <v/>
      </c>
      <c r="AI20" s="79">
        <f>IF(IF(COUNTIF(AI4:AI19,AI18)&gt;=MAX(D4:D8),AI18+2,AI18)&gt;50,"",IF(COUNTIF(AI4:AI19,AI18)&gt;=MAX(D4:D8),AI18+2,AI18))</f>
        <v>37</v>
      </c>
      <c r="AJ20" s="1" t="str">
        <f>IF(AI20="","",VLOOKUP(AI20,S4:U53,3,0))</f>
        <v>p.34～p.35</v>
      </c>
      <c r="AK20" s="8" t="str">
        <f t="shared" si="4"/>
        <v/>
      </c>
      <c r="AM20" s="71">
        <f t="shared" si="5"/>
        <v>371</v>
      </c>
      <c r="AN20" s="71">
        <f>IF(OR(COUNTBLANK(AQ20)=1,ISERROR(AQ20)),"",COUNT(AQ4:AQ20))</f>
        <v>17</v>
      </c>
      <c r="AO20" s="7" t="str">
        <f t="shared" si="6"/>
        <v>ナビ・</v>
      </c>
      <c r="AP20" s="1" t="str">
        <f>IF(ISERROR(INDEX(C4:C8,MATCH(H20,D4:D8,0))),"",INDEX(C4:C8,MATCH(H20,D4:D8,0)))</f>
        <v/>
      </c>
      <c r="AQ20" s="79">
        <f>IF(IF(COUNTIF(AQ4:AQ19,AQ17)&gt;=MAX(D4:D8),AQ17+3,AQ17)&gt;50,"",IF(COUNTIF(AQ4:AQ19,AQ17)&gt;=MAX(D4:D8),AQ17+3,AQ17))</f>
        <v>37</v>
      </c>
      <c r="AR20" s="1" t="str">
        <f>IF(AQ20="","",VLOOKUP(AQ20,S4:U53,3,0))</f>
        <v>p.34～p.35</v>
      </c>
      <c r="AS20" s="8" t="str">
        <f t="shared" si="7"/>
        <v/>
      </c>
      <c r="AU20" s="71">
        <f t="shared" si="8"/>
        <v>371</v>
      </c>
      <c r="AV20" s="71">
        <f>IF(OR(COUNTBLANK(AY20)=1,ISERROR(AY20)),"",COUNT(AY4:AY20))</f>
        <v>17</v>
      </c>
      <c r="AW20" s="7" t="str">
        <f t="shared" si="9"/>
        <v>ナビ・</v>
      </c>
      <c r="AX20" s="74" t="str">
        <f>IF(ISERROR(INDEX(C4:C8,MATCH(I20,D4:D8,0))),"",INDEX(C4:C8,MATCH(I20,D4:D8,0)))</f>
        <v/>
      </c>
      <c r="AY20" s="79">
        <f>IF(IF(COUNTIF(AY4:AY19,AY16)&gt;=MAX(D4:D8),AY16+4,AY16)&gt;50,"",IF(COUNTIF(AY4:AY19,AY16)&gt;=MAX(D4:D8),AY16+4,AY16))</f>
        <v>37</v>
      </c>
      <c r="AZ20" s="76" t="str">
        <f>IF(AY20="","",VLOOKUP(AY20,S4:U53,3,0))</f>
        <v>p.34～p.35</v>
      </c>
      <c r="BA20" s="8" t="str">
        <f t="shared" si="10"/>
        <v/>
      </c>
      <c r="BC20" s="71">
        <f t="shared" si="11"/>
        <v>371</v>
      </c>
      <c r="BD20" s="71">
        <f>IF(OR(COUNTBLANK(BG20)=1,ISERROR(BG20)),"",COUNT(BG4:BG20))</f>
        <v>17</v>
      </c>
      <c r="BE20" s="7" t="str">
        <f t="shared" si="12"/>
        <v>ナビ・</v>
      </c>
      <c r="BF20" s="74" t="str">
        <f>IF(ISERROR(INDEX(C4:C8,MATCH(J20,D4:D8,0))),"",INDEX(C4:C8,MATCH(J20,D4:D8,0)))</f>
        <v/>
      </c>
      <c r="BG20" s="79">
        <f>IF(IF(COUNTIF(BG4:BG19,BG15)&gt;=MAX(D4:D8),BG15+5,BG15)&gt;50,"",IF(COUNTIF(BG4:BG19,BG15)&gt;=MAX(D4:D8),BG15+5,BG15))</f>
        <v>37</v>
      </c>
      <c r="BH20" s="76" t="str">
        <f>IF(BG20="","",VLOOKUP(BG20,S4:U53,3,0))</f>
        <v>p.34～p.35</v>
      </c>
      <c r="BI20" s="8" t="str">
        <f t="shared" si="13"/>
        <v/>
      </c>
      <c r="BL20" s="113">
        <v>17</v>
      </c>
      <c r="BM20" s="114">
        <v>14</v>
      </c>
      <c r="BN20" s="114" t="s">
        <v>137</v>
      </c>
      <c r="BP20" s="71">
        <f>IF(BT20="","",BT20*10+2)</f>
        <v>372</v>
      </c>
      <c r="BQ20" s="71">
        <f>IF(OR(COUNTBLANK(BT20)=1,ISERROR(BT20)),"",COUNT(BT4:BT20))</f>
        <v>17</v>
      </c>
      <c r="BR20" s="7" t="str">
        <f t="shared" si="18"/>
        <v>ナビ・</v>
      </c>
      <c r="BS20" s="1" t="str">
        <f t="shared" si="19"/>
        <v/>
      </c>
      <c r="BT20" s="79">
        <f>IF(IF(COUNTIF($BT$4:BT19,BT19)&gt;=MAX($D$4:$D$8),BT19+1,BT19)&gt;55,"",IF(COUNTIF($BT$4:BT19,BT19)&gt;=MAX($D$4:$D$8),BT19+1,BT19))</f>
        <v>37</v>
      </c>
      <c r="BU20" s="1" t="str">
        <f t="shared" si="20"/>
        <v>p.24～p.25</v>
      </c>
      <c r="BV20" s="8" t="str">
        <f t="shared" si="21"/>
        <v/>
      </c>
      <c r="BX20" s="71">
        <f t="shared" si="22"/>
        <v>371</v>
      </c>
      <c r="BY20" s="71">
        <f>IF(OR(COUNTBLANK(CB20)=1,ISERROR(CB20)),"",COUNT($CB$4:CB20))</f>
        <v>17</v>
      </c>
      <c r="BZ20" s="7" t="str">
        <f t="shared" si="23"/>
        <v>ナビ・</v>
      </c>
      <c r="CA20" s="1" t="str">
        <f t="shared" si="24"/>
        <v/>
      </c>
      <c r="CB20" s="79">
        <f>IF(IF(COUNTIF($CB$4:CB19,CB18)&gt;=MAX($D$4:$D$8),CB18+2,CB18)&gt;55,"",IF(COUNTIF($CB$4:CB19,CB18)&gt;=MAX($D$4:$D$8),CB18+2,CB18))</f>
        <v>37</v>
      </c>
      <c r="CC20" s="1" t="str">
        <f t="shared" si="25"/>
        <v>p.24～p.25</v>
      </c>
      <c r="CD20" s="8" t="str">
        <f t="shared" si="26"/>
        <v/>
      </c>
      <c r="CF20" s="71">
        <f t="shared" si="61"/>
        <v>371</v>
      </c>
      <c r="CG20" s="71">
        <f>IF(OR(COUNTBLANK(CJ20)=1,ISERROR(CJ20)),"",COUNT($CJ$4:CJ20))</f>
        <v>17</v>
      </c>
      <c r="CH20" s="7" t="str">
        <f t="shared" si="62"/>
        <v>ナビ・</v>
      </c>
      <c r="CI20" s="1" t="str">
        <f t="shared" si="63"/>
        <v/>
      </c>
      <c r="CJ20" s="79">
        <f>IF(IF(COUNTIF($CJ$4:CJ19,CJ17)&gt;=MAX($D$4:$D$8),CJ17+3,CJ17)&gt;55,"",IF(COUNTIF($CJ$4:CJ19,CJ17)&gt;=MAX($D$4:$D$8),CJ17+3,CJ17))</f>
        <v>37</v>
      </c>
      <c r="CK20" s="1" t="str">
        <f t="shared" si="30"/>
        <v>p.24～p.25</v>
      </c>
      <c r="CL20" s="8" t="str">
        <f t="shared" si="64"/>
        <v/>
      </c>
      <c r="CN20" s="71">
        <f t="shared" si="51"/>
        <v>371</v>
      </c>
      <c r="CO20" s="71">
        <f>IF(OR(COUNTBLANK(CR20)=1,ISERROR(CR20)),"",COUNT($CR$4:CR20))</f>
        <v>17</v>
      </c>
      <c r="CP20" s="7" t="str">
        <f t="shared" si="52"/>
        <v>ナビ・</v>
      </c>
      <c r="CQ20" s="1" t="str">
        <f t="shared" si="53"/>
        <v/>
      </c>
      <c r="CR20" s="79">
        <f>IF(IF(COUNTIF($CR$4:CR19,CR16)&gt;=MAX($D$4:$D$8),CR16+4,CR16)&gt;55,"",IF(COUNTIF($CR$4:CR19,CR16)&gt;=MAX($D$4:$D$8),CR16+4,CR16))</f>
        <v>37</v>
      </c>
      <c r="CS20" s="1" t="str">
        <f t="shared" si="35"/>
        <v>p.24～p.25</v>
      </c>
      <c r="CT20" s="8" t="str">
        <f t="shared" si="54"/>
        <v/>
      </c>
      <c r="CV20" s="71">
        <f t="shared" si="56"/>
        <v>371</v>
      </c>
      <c r="CW20" s="71">
        <f>IF(OR(COUNTBLANK(CZ20)=1,ISERROR(CZ20)),"",COUNT($CZ$4:CZ20))</f>
        <v>17</v>
      </c>
      <c r="CX20" s="7" t="str">
        <f t="shared" si="57"/>
        <v>ナビ・</v>
      </c>
      <c r="CY20" s="1" t="str">
        <f t="shared" si="58"/>
        <v/>
      </c>
      <c r="CZ20" s="79">
        <f>IF(IF(COUNTIF($CZ$4:CZ19,CZ15)&gt;=MAX($D$4:$D$8),CZ15+5,CZ15)&gt;55,"",IF(COUNTIF($CZ$4:CZ19,CZ15)&gt;=MAX($D$4:$D$8),CZ15+5,CZ15))</f>
        <v>37</v>
      </c>
      <c r="DA20" s="1" t="str">
        <f t="shared" si="40"/>
        <v>p.24～p.25</v>
      </c>
      <c r="DB20" s="8" t="str">
        <f t="shared" si="59"/>
        <v/>
      </c>
    </row>
    <row r="21" spans="1:106" x14ac:dyDescent="0.15">
      <c r="A21" s="121" t="s">
        <v>153</v>
      </c>
      <c r="B21" s="122" t="e">
        <f>INDEX(C4:C8,MATCH(1,D4:D8,0))</f>
        <v>#N/A</v>
      </c>
      <c r="C21" s="122">
        <f>IF(設定入力!C20="",1,INDEX($BL$4:$BL$28,MATCH(設定入力!C20,$BM$4:$BM$28)))</f>
        <v>1</v>
      </c>
      <c r="E21" s="1">
        <v>18</v>
      </c>
      <c r="F21" s="1">
        <f t="shared" si="42"/>
        <v>1</v>
      </c>
      <c r="G21" s="1">
        <f t="shared" si="60"/>
        <v>1</v>
      </c>
      <c r="H21" s="1">
        <f t="shared" si="45"/>
        <v>1</v>
      </c>
      <c r="I21" s="1">
        <f t="shared" si="50"/>
        <v>1</v>
      </c>
      <c r="J21" s="1">
        <f t="shared" si="55"/>
        <v>1</v>
      </c>
      <c r="L21" s="1" t="str">
        <f>IF(ISERROR(HLOOKUP($C$10,$F$3:$J$253,19,0)),"",HLOOKUP($C$10,$F$3:$J$253,19,0))</f>
        <v/>
      </c>
      <c r="M21" s="81" t="str">
        <f>IF(設定入力!E22="","",設定入力!E22)</f>
        <v/>
      </c>
      <c r="O21" s="6" t="str">
        <f>IF(設定入力!$E$1=2,IF(OR(M21=0,M21="",COUNT($M$1)=0),"",IF($M$1+SUM($M$4:M20)&gt;$Q$1,"",$M$1+SUM($M$4:M20))),IF(OR(M21=0,M21="",COUNT($M$2)=0),"",IF($M$2+SUM($M$4:M20)&gt;$Q$1,"",$M$2+SUM($M$4:M20))))</f>
        <v/>
      </c>
      <c r="P21" s="4" t="str">
        <f t="shared" si="14"/>
        <v/>
      </c>
      <c r="Q21" s="4" t="str">
        <f t="shared" si="15"/>
        <v/>
      </c>
      <c r="S21" s="9">
        <v>18</v>
      </c>
      <c r="T21" s="1">
        <v>18</v>
      </c>
      <c r="U21" s="1" t="s">
        <v>32</v>
      </c>
      <c r="W21" s="71">
        <f t="shared" si="16"/>
        <v>381</v>
      </c>
      <c r="X21" s="71">
        <f>IF(OR(COUNTBLANK(AA21)=1,ISERROR(AA21)),"",COUNT(AA4:AA21))</f>
        <v>18</v>
      </c>
      <c r="Y21" s="7" t="str">
        <f t="shared" si="0"/>
        <v>ナビ・</v>
      </c>
      <c r="Z21" s="1" t="str">
        <f t="shared" si="17"/>
        <v/>
      </c>
      <c r="AA21" s="79">
        <f>IF(IF(COUNTIF(AA4:AA20,AA20)&gt;=MAX(D4:D8),AA20+1,AA20)&gt;50,"",IF(COUNTIF(AA4:AA20,AA20)&gt;=MAX(D4:D8),AA20+1,AA20))</f>
        <v>38</v>
      </c>
      <c r="AB21" s="1" t="str">
        <f>IF(AA21="","",VLOOKUP(AA21,S4:U53,3,0))</f>
        <v>p.36～p.37</v>
      </c>
      <c r="AC21" s="8" t="str">
        <f t="shared" si="1"/>
        <v/>
      </c>
      <c r="AE21" s="71">
        <f t="shared" si="2"/>
        <v>381</v>
      </c>
      <c r="AF21" s="71">
        <f>IF(OR(COUNTBLANK(AI21)=1,ISERROR(AI21)),"",COUNT(AI4:AI21))</f>
        <v>18</v>
      </c>
      <c r="AG21" s="7" t="str">
        <f t="shared" si="3"/>
        <v>ナビ・</v>
      </c>
      <c r="AH21" s="1" t="str">
        <f>IF(ISERROR(INDEX(C4:C8,MATCH(G21,D4:D8,0))),"",INDEX(C4:C8,MATCH(G21,D4:D8,0)))</f>
        <v/>
      </c>
      <c r="AI21" s="79">
        <f>IF(IF(COUNTIF(AI4:AI19,AI19)&gt;=MAX(D4:D8),AI19+2,AI19)&gt;50,"",IF(COUNTIF(AI4:AI19,AI19)&gt;=MAX(D4:D8),AI19+2,AI19))</f>
        <v>38</v>
      </c>
      <c r="AJ21" s="1" t="str">
        <f>IF(AI21="","",VLOOKUP(AI21,S4:U53,3,0))</f>
        <v>p.36～p.37</v>
      </c>
      <c r="AK21" s="8" t="str">
        <f t="shared" si="4"/>
        <v/>
      </c>
      <c r="AM21" s="71">
        <f t="shared" si="5"/>
        <v>381</v>
      </c>
      <c r="AN21" s="71">
        <f>IF(OR(COUNTBLANK(AQ21)=1,ISERROR(AQ21)),"",COUNT(AQ4:AQ21))</f>
        <v>18</v>
      </c>
      <c r="AO21" s="7" t="str">
        <f t="shared" si="6"/>
        <v>ナビ・</v>
      </c>
      <c r="AP21" s="1" t="str">
        <f>IF(ISERROR(INDEX(C4:C8,MATCH(H21,D4:D8,0))),"",INDEX(C4:C8,MATCH(H21,D4:D8,0)))</f>
        <v/>
      </c>
      <c r="AQ21" s="79">
        <f>IF(IF(COUNTIF(AQ4:AQ20,AQ18)&gt;=MAX(D4:D8),AQ18+3,AQ18)&gt;50,"",IF(COUNTIF(AQ4:AQ20,AQ18)&gt;=MAX(D4:D8),AQ18+3,AQ18))</f>
        <v>38</v>
      </c>
      <c r="AR21" s="1" t="str">
        <f>IF(AQ21="","",VLOOKUP(AQ21,S4:U53,3,0))</f>
        <v>p.36～p.37</v>
      </c>
      <c r="AS21" s="8" t="str">
        <f t="shared" si="7"/>
        <v/>
      </c>
      <c r="AU21" s="71">
        <f t="shared" si="8"/>
        <v>381</v>
      </c>
      <c r="AV21" s="71">
        <f>IF(OR(COUNTBLANK(AY21)=1,ISERROR(AY21)),"",COUNT(AY4:AY21))</f>
        <v>18</v>
      </c>
      <c r="AW21" s="7" t="str">
        <f t="shared" si="9"/>
        <v>ナビ・</v>
      </c>
      <c r="AX21" s="74" t="str">
        <f>IF(ISERROR(INDEX(C4:C8,MATCH(I21,D4:D8,0))),"",INDEX(C4:C8,MATCH(I21,D4:D8,0)))</f>
        <v/>
      </c>
      <c r="AY21" s="79">
        <f>IF(IF(COUNTIF(AY4:AY20,AY17)&gt;=MAX(D4:D8),AY17+4,AY17)&gt;50,"",IF(COUNTIF(AY4:AY20,AY17)&gt;=MAX(D4:D8),AY17+4,AY17))</f>
        <v>38</v>
      </c>
      <c r="AZ21" s="76" t="str">
        <f>IF(AY21="","",VLOOKUP(AY21,S4:U53,3,0))</f>
        <v>p.36～p.37</v>
      </c>
      <c r="BA21" s="8" t="str">
        <f t="shared" si="10"/>
        <v/>
      </c>
      <c r="BC21" s="71">
        <f t="shared" si="11"/>
        <v>381</v>
      </c>
      <c r="BD21" s="71">
        <f>IF(OR(COUNTBLANK(BG21)=1,ISERROR(BG21)),"",COUNT(BG4:BG21))</f>
        <v>18</v>
      </c>
      <c r="BE21" s="7" t="str">
        <f t="shared" si="12"/>
        <v>ナビ・</v>
      </c>
      <c r="BF21" s="74" t="str">
        <f>IF(ISERROR(INDEX(C4:C8,MATCH(J21,D4:D8,0))),"",INDEX(C4:C8,MATCH(J21,D4:D8,0)))</f>
        <v/>
      </c>
      <c r="BG21" s="79">
        <f>IF(IF(COUNTIF(BG4:BG20,BG16)&gt;=MAX(D4:D8),BG16+5,BG16)&gt;50,"",IF(COUNTIF(BG4:BG20,BG16)&gt;=MAX(D4:D8),BG16+5,BG16))</f>
        <v>38</v>
      </c>
      <c r="BH21" s="76" t="str">
        <f>IF(BG21="","",VLOOKUP(BG21,S4:U53,3,0))</f>
        <v>p.36～p.37</v>
      </c>
      <c r="BI21" s="8" t="str">
        <f t="shared" si="13"/>
        <v/>
      </c>
      <c r="BL21" s="113">
        <v>18</v>
      </c>
      <c r="BM21" s="114">
        <v>15</v>
      </c>
      <c r="BN21" s="114" t="s">
        <v>138</v>
      </c>
      <c r="BP21" s="71">
        <f>IF(BT21="","",BT21*10+3)</f>
        <v>383</v>
      </c>
      <c r="BQ21" s="71">
        <f>IF(OR(COUNTBLANK(BT21)=1,ISERROR(BT21)),"",COUNT(BT4:BT21))</f>
        <v>18</v>
      </c>
      <c r="BR21" s="7" t="str">
        <f t="shared" si="18"/>
        <v>ナビ・</v>
      </c>
      <c r="BS21" s="1" t="str">
        <f t="shared" si="19"/>
        <v/>
      </c>
      <c r="BT21" s="79">
        <f>IF(IF(COUNTIF($BT$4:BT20,BT20)&gt;=MAX($D$4:$D$8),BT20+1,BT20)&gt;55,"",IF(COUNTIF($BT$4:BT20,BT20)&gt;=MAX($D$4:$D$8),BT20+1,BT20))</f>
        <v>38</v>
      </c>
      <c r="BU21" s="1" t="str">
        <f t="shared" si="20"/>
        <v>p.26～p.27</v>
      </c>
      <c r="BV21" s="8" t="str">
        <f t="shared" si="21"/>
        <v/>
      </c>
      <c r="BX21" s="71">
        <f t="shared" si="22"/>
        <v>381</v>
      </c>
      <c r="BY21" s="71">
        <f>IF(OR(COUNTBLANK(CB21)=1,ISERROR(CB21)),"",COUNT($CB$4:CB21))</f>
        <v>18</v>
      </c>
      <c r="BZ21" s="7" t="str">
        <f t="shared" si="23"/>
        <v>ナビ・</v>
      </c>
      <c r="CA21" s="1" t="str">
        <f t="shared" si="24"/>
        <v/>
      </c>
      <c r="CB21" s="79">
        <f>IF(IF(COUNTIF($CB$4:CB20,CB19)&gt;=MAX($D$4:$D$8),CB19+2,CB19)&gt;55,"",IF(COUNTIF($CB$4:CB20,CB19)&gt;=MAX($D$4:$D$8),CB19+2,CB19))</f>
        <v>38</v>
      </c>
      <c r="CC21" s="1" t="str">
        <f t="shared" si="25"/>
        <v>p.26～p.27</v>
      </c>
      <c r="CD21" s="8" t="str">
        <f t="shared" si="26"/>
        <v/>
      </c>
      <c r="CF21" s="71">
        <f t="shared" si="61"/>
        <v>381</v>
      </c>
      <c r="CG21" s="71">
        <f>IF(OR(COUNTBLANK(CJ21)=1,ISERROR(CJ21)),"",COUNT($CJ$4:CJ21))</f>
        <v>18</v>
      </c>
      <c r="CH21" s="7" t="str">
        <f t="shared" si="62"/>
        <v>ナビ・</v>
      </c>
      <c r="CI21" s="1" t="str">
        <f t="shared" si="63"/>
        <v/>
      </c>
      <c r="CJ21" s="79">
        <f>IF(IF(COUNTIF($CJ$4:CJ20,CJ18)&gt;=MAX($D$4:$D$8),CJ18+3,CJ18)&gt;55,"",IF(COUNTIF($CJ$4:CJ20,CJ18)&gt;=MAX($D$4:$D$8),CJ18+3,CJ18))</f>
        <v>38</v>
      </c>
      <c r="CK21" s="1" t="str">
        <f t="shared" si="30"/>
        <v>p.26～p.27</v>
      </c>
      <c r="CL21" s="8" t="str">
        <f t="shared" si="64"/>
        <v/>
      </c>
      <c r="CN21" s="71">
        <f t="shared" si="51"/>
        <v>381</v>
      </c>
      <c r="CO21" s="71">
        <f>IF(OR(COUNTBLANK(CR21)=1,ISERROR(CR21)),"",COUNT($CR$4:CR21))</f>
        <v>18</v>
      </c>
      <c r="CP21" s="7" t="str">
        <f t="shared" si="52"/>
        <v>ナビ・</v>
      </c>
      <c r="CQ21" s="1" t="str">
        <f t="shared" si="53"/>
        <v/>
      </c>
      <c r="CR21" s="79">
        <f>IF(IF(COUNTIF($CR$4:CR20,CR17)&gt;=MAX($D$4:$D$8),CR17+4,CR17)&gt;55,"",IF(COUNTIF($CR$4:CR20,CR17)&gt;=MAX($D$4:$D$8),CR17+4,CR17))</f>
        <v>38</v>
      </c>
      <c r="CS21" s="1" t="str">
        <f t="shared" si="35"/>
        <v>p.26～p.27</v>
      </c>
      <c r="CT21" s="8" t="str">
        <f t="shared" si="54"/>
        <v/>
      </c>
      <c r="CV21" s="71">
        <f t="shared" si="56"/>
        <v>381</v>
      </c>
      <c r="CW21" s="71">
        <f>IF(OR(COUNTBLANK(CZ21)=1,ISERROR(CZ21)),"",COUNT($CZ$4:CZ21))</f>
        <v>18</v>
      </c>
      <c r="CX21" s="7" t="str">
        <f t="shared" si="57"/>
        <v>ナビ・</v>
      </c>
      <c r="CY21" s="1" t="str">
        <f t="shared" si="58"/>
        <v/>
      </c>
      <c r="CZ21" s="79">
        <f>IF(IF(COUNTIF($CZ$4:CZ20,CZ16)&gt;=MAX($D$4:$D$8),CZ16+5,CZ16)&gt;55,"",IF(COUNTIF($CZ$4:CZ20,CZ16)&gt;=MAX($D$4:$D$8),CZ16+5,CZ16))</f>
        <v>38</v>
      </c>
      <c r="DA21" s="1" t="str">
        <f t="shared" si="40"/>
        <v>p.26～p.27</v>
      </c>
      <c r="DB21" s="8" t="str">
        <f t="shared" si="59"/>
        <v/>
      </c>
    </row>
    <row r="22" spans="1:106" x14ac:dyDescent="0.15">
      <c r="A22" s="121"/>
      <c r="B22" s="122"/>
      <c r="C22" s="122"/>
      <c r="E22" s="1">
        <v>19</v>
      </c>
      <c r="F22" s="1">
        <f t="shared" si="42"/>
        <v>1</v>
      </c>
      <c r="G22" s="1">
        <f t="shared" si="60"/>
        <v>1</v>
      </c>
      <c r="H22" s="1">
        <f t="shared" si="45"/>
        <v>1</v>
      </c>
      <c r="I22" s="1">
        <f t="shared" si="50"/>
        <v>1</v>
      </c>
      <c r="J22" s="1">
        <f t="shared" si="55"/>
        <v>1</v>
      </c>
      <c r="L22" s="1" t="str">
        <f>IF(ISERROR(HLOOKUP($C$10,$F$3:$J$253,20,0)),"",HLOOKUP($C$10,$F$3:$J$253,20,0))</f>
        <v/>
      </c>
      <c r="M22" s="81" t="str">
        <f>IF(設定入力!E23="","",設定入力!E23)</f>
        <v/>
      </c>
      <c r="O22" s="6" t="str">
        <f>IF(設定入力!$E$1=2,IF(OR(M22=0,M22="",COUNT($M$1)=0),"",IF($M$1+SUM($M$4:M21)&gt;$Q$1,"",$M$1+SUM($M$4:M21))),IF(OR(M22=0,M22="",COUNT($M$2)=0),"",IF($M$2+SUM($M$4:M21)&gt;$Q$1,"",$M$2+SUM($M$4:M21))))</f>
        <v/>
      </c>
      <c r="P22" s="4" t="str">
        <f t="shared" si="14"/>
        <v/>
      </c>
      <c r="Q22" s="4" t="str">
        <f t="shared" si="15"/>
        <v/>
      </c>
      <c r="S22" s="9">
        <v>19</v>
      </c>
      <c r="T22" s="1">
        <v>19</v>
      </c>
      <c r="U22" s="1" t="s">
        <v>33</v>
      </c>
      <c r="W22" s="71">
        <f t="shared" si="16"/>
        <v>391</v>
      </c>
      <c r="X22" s="71">
        <f>IF(OR(COUNTBLANK(AA22)=1,ISERROR(AA22)),"",COUNT(AA4:AA22))</f>
        <v>19</v>
      </c>
      <c r="Y22" s="7" t="str">
        <f t="shared" si="0"/>
        <v>ナビ・</v>
      </c>
      <c r="Z22" s="1" t="str">
        <f t="shared" si="17"/>
        <v/>
      </c>
      <c r="AA22" s="79">
        <f>IF(IF(COUNTIF(AA4:AA21,AA21)&gt;=MAX(D4:D8),AA21+1,AA21)&gt;50,"",IF(COUNTIF(AA4:AA21,AA21)&gt;=MAX(D4:D8),AA21+1,AA21))</f>
        <v>39</v>
      </c>
      <c r="AB22" s="1" t="str">
        <f>IF(AA22="","",VLOOKUP(AA22,S4:U53,3,0))</f>
        <v>p.38～p.39</v>
      </c>
      <c r="AC22" s="8" t="str">
        <f t="shared" si="1"/>
        <v/>
      </c>
      <c r="AE22" s="71">
        <f t="shared" si="2"/>
        <v>391</v>
      </c>
      <c r="AF22" s="71">
        <f>IF(OR(COUNTBLANK(AI22)=1,ISERROR(AI22)),"",COUNT(AI4:AI22))</f>
        <v>19</v>
      </c>
      <c r="AG22" s="7" t="str">
        <f t="shared" si="3"/>
        <v>ナビ・</v>
      </c>
      <c r="AH22" s="1" t="str">
        <f>IF(ISERROR(INDEX(C4:C8,MATCH(G22,D4:D8,0))),"",INDEX(C4:C8,MATCH(G22,D4:D8,0)))</f>
        <v/>
      </c>
      <c r="AI22" s="79">
        <f>IF(IF(COUNTIF(AI4:AI21,AI20)&gt;=MAX(D4:D8),AI20+2,AI20)&gt;50,"",IF(COUNTIF(AI4:AI21,AI20)&gt;=MAX(D4:D8),AI20+2,AI20))</f>
        <v>39</v>
      </c>
      <c r="AJ22" s="1" t="str">
        <f>IF(AI22="","",VLOOKUP(AI22,S4:U53,3,0))</f>
        <v>p.38～p.39</v>
      </c>
      <c r="AK22" s="8" t="str">
        <f t="shared" si="4"/>
        <v/>
      </c>
      <c r="AM22" s="71">
        <f t="shared" si="5"/>
        <v>391</v>
      </c>
      <c r="AN22" s="71">
        <f>IF(OR(COUNTBLANK(AQ22)=1,ISERROR(AQ22)),"",COUNT(AQ4:AQ22))</f>
        <v>19</v>
      </c>
      <c r="AO22" s="7" t="str">
        <f t="shared" si="6"/>
        <v>ナビ・</v>
      </c>
      <c r="AP22" s="1" t="str">
        <f>IF(ISERROR(INDEX(C4:C8,MATCH(H22,D4:D8,0))),"",INDEX(C4:C8,MATCH(H22,D4:D8,0)))</f>
        <v/>
      </c>
      <c r="AQ22" s="79">
        <f>IF(IF(COUNTIF(AQ4:AQ21,AQ19)&gt;=MAX(D4:D8),AQ19+3,AQ19)&gt;50,"",IF(COUNTIF(AQ4:AQ21,AQ19)&gt;=MAX(D4:D8),AQ19+3,AQ19))</f>
        <v>39</v>
      </c>
      <c r="AR22" s="1" t="str">
        <f>IF(AQ22="","",VLOOKUP(AQ22,S4:U53,3,0))</f>
        <v>p.38～p.39</v>
      </c>
      <c r="AS22" s="8" t="str">
        <f t="shared" si="7"/>
        <v/>
      </c>
      <c r="AU22" s="71">
        <f t="shared" si="8"/>
        <v>391</v>
      </c>
      <c r="AV22" s="71">
        <f>IF(OR(COUNTBLANK(AY22)=1,ISERROR(AY22)),"",COUNT(AY4:AY22))</f>
        <v>19</v>
      </c>
      <c r="AW22" s="7" t="str">
        <f t="shared" si="9"/>
        <v>ナビ・</v>
      </c>
      <c r="AX22" s="74" t="str">
        <f>IF(ISERROR(INDEX(C4:C8,MATCH(I22,D4:D8,0))),"",INDEX(C4:C8,MATCH(I22,D4:D8,0)))</f>
        <v/>
      </c>
      <c r="AY22" s="79">
        <f>IF(IF(COUNTIF(AY4:AY21,AY18)&gt;=MAX(D4:D8),AY18+4,AY18)&gt;50,"",IF(COUNTIF(AY4:AY21,AY18)&gt;=MAX(D4:D8),AY18+4,AY18))</f>
        <v>39</v>
      </c>
      <c r="AZ22" s="76" t="str">
        <f>IF(AY22="","",VLOOKUP(AY22,S4:U53,3,0))</f>
        <v>p.38～p.39</v>
      </c>
      <c r="BA22" s="8" t="str">
        <f t="shared" si="10"/>
        <v/>
      </c>
      <c r="BC22" s="71">
        <f t="shared" si="11"/>
        <v>391</v>
      </c>
      <c r="BD22" s="71">
        <f>IF(OR(COUNTBLANK(BG22)=1,ISERROR(BG22)),"",COUNT(BG4:BG22))</f>
        <v>19</v>
      </c>
      <c r="BE22" s="7" t="str">
        <f t="shared" si="12"/>
        <v>ナビ・</v>
      </c>
      <c r="BF22" s="74" t="str">
        <f>IF(ISERROR(INDEX(C4:C8,MATCH(J22,D4:D8,0))),"",INDEX(C4:C8,MATCH(J22,D4:D8,0)))</f>
        <v/>
      </c>
      <c r="BG22" s="79">
        <f>IF(IF(COUNTIF(BG4:BG21,BG17)&gt;=MAX(D4:D8),BG17+5,BG17)&gt;50,"",IF(COUNTIF(BG4:BG21,BG17)&gt;=MAX(D4:D8),BG17+5,BG17))</f>
        <v>39</v>
      </c>
      <c r="BH22" s="76" t="str">
        <f>IF(BG22="","",VLOOKUP(BG22,S4:U53,3,0))</f>
        <v>p.38～p.39</v>
      </c>
      <c r="BI22" s="8" t="str">
        <f t="shared" si="13"/>
        <v/>
      </c>
      <c r="BL22" s="113">
        <v>19</v>
      </c>
      <c r="BM22" s="114">
        <v>16</v>
      </c>
      <c r="BN22" s="114" t="s">
        <v>139</v>
      </c>
      <c r="BP22" s="71">
        <f>IF(BT22="","",BT22*10+4)</f>
        <v>394</v>
      </c>
      <c r="BQ22" s="71">
        <f>IF(OR(COUNTBLANK(BT22)=1,ISERROR(BT22)),"",COUNT(BT4:BT22))</f>
        <v>19</v>
      </c>
      <c r="BR22" s="7" t="str">
        <f t="shared" si="18"/>
        <v>ナビ・</v>
      </c>
      <c r="BS22" s="1" t="str">
        <f t="shared" si="19"/>
        <v/>
      </c>
      <c r="BT22" s="79">
        <f>IF(IF(COUNTIF($BT$4:BT21,BT21)&gt;=MAX($D$4:$D$8),BT21+1,BT21)&gt;55,"",IF(COUNTIF($BT$4:BT21,BT21)&gt;=MAX($D$4:$D$8),BT21+1,BT21))</f>
        <v>39</v>
      </c>
      <c r="BU22" s="1" t="str">
        <f t="shared" si="20"/>
        <v>p.28～p.29</v>
      </c>
      <c r="BV22" s="8" t="str">
        <f t="shared" si="21"/>
        <v/>
      </c>
      <c r="BX22" s="71">
        <f t="shared" si="22"/>
        <v>391</v>
      </c>
      <c r="BY22" s="71">
        <f>IF(OR(COUNTBLANK(CB22)=1,ISERROR(CB22)),"",COUNT($CB$4:CB22))</f>
        <v>19</v>
      </c>
      <c r="BZ22" s="7" t="str">
        <f t="shared" si="23"/>
        <v>ナビ・</v>
      </c>
      <c r="CA22" s="1" t="str">
        <f t="shared" si="24"/>
        <v/>
      </c>
      <c r="CB22" s="79">
        <f>IF(IF(COUNTIF($CB$4:CB21,CB20)&gt;=MAX($D$4:$D$8),CB20+2,CB20)&gt;55,"",IF(COUNTIF($CB$4:CB21,CB20)&gt;=MAX($D$4:$D$8),CB20+2,CB20))</f>
        <v>39</v>
      </c>
      <c r="CC22" s="1" t="str">
        <f t="shared" si="25"/>
        <v>p.28～p.29</v>
      </c>
      <c r="CD22" s="8" t="str">
        <f t="shared" si="26"/>
        <v/>
      </c>
      <c r="CF22" s="71">
        <f t="shared" si="61"/>
        <v>391</v>
      </c>
      <c r="CG22" s="71">
        <f>IF(OR(COUNTBLANK(CJ22)=1,ISERROR(CJ22)),"",COUNT($CJ$4:CJ22))</f>
        <v>19</v>
      </c>
      <c r="CH22" s="7" t="str">
        <f t="shared" si="62"/>
        <v>ナビ・</v>
      </c>
      <c r="CI22" s="1" t="str">
        <f t="shared" si="63"/>
        <v/>
      </c>
      <c r="CJ22" s="79">
        <f>IF(IF(COUNTIF($CJ$4:CJ21,CJ19)&gt;=MAX($D$4:$D$8),CJ19+3,CJ19)&gt;55,"",IF(COUNTIF($CJ$4:CJ21,CJ19)&gt;=MAX($D$4:$D$8),CJ19+3,CJ19))</f>
        <v>39</v>
      </c>
      <c r="CK22" s="1" t="str">
        <f t="shared" si="30"/>
        <v>p.28～p.29</v>
      </c>
      <c r="CL22" s="8" t="str">
        <f t="shared" si="64"/>
        <v/>
      </c>
      <c r="CN22" s="71">
        <f t="shared" si="51"/>
        <v>391</v>
      </c>
      <c r="CO22" s="71">
        <f>IF(OR(COUNTBLANK(CR22)=1,ISERROR(CR22)),"",COUNT($CR$4:CR22))</f>
        <v>19</v>
      </c>
      <c r="CP22" s="7" t="str">
        <f t="shared" si="52"/>
        <v>ナビ・</v>
      </c>
      <c r="CQ22" s="1" t="str">
        <f t="shared" si="53"/>
        <v/>
      </c>
      <c r="CR22" s="79">
        <f>IF(IF(COUNTIF($CR$4:CR21,CR18)&gt;=MAX($D$4:$D$8),CR18+4,CR18)&gt;55,"",IF(COUNTIF($CR$4:CR21,CR18)&gt;=MAX($D$4:$D$8),CR18+4,CR18))</f>
        <v>39</v>
      </c>
      <c r="CS22" s="1" t="str">
        <f t="shared" si="35"/>
        <v>p.28～p.29</v>
      </c>
      <c r="CT22" s="8" t="str">
        <f t="shared" si="54"/>
        <v/>
      </c>
      <c r="CV22" s="71">
        <f t="shared" ref="CV22:CV85" si="65">IF(CZ22="","",CZ22*10+J22)</f>
        <v>391</v>
      </c>
      <c r="CW22" s="71">
        <f>IF(OR(COUNTBLANK(CZ22)=1,ISERROR(CZ22)),"",COUNT($CZ$4:CZ22))</f>
        <v>19</v>
      </c>
      <c r="CX22" s="7" t="str">
        <f t="shared" ref="CX22:CX85" si="66">IF(CZ22&gt;25,"ナビ・","1・2年のWナビ・")</f>
        <v>ナビ・</v>
      </c>
      <c r="CY22" s="1" t="str">
        <f t="shared" ref="CY22:CY85" si="67">IF(ISERROR(INDEX($C$4:$C$8,MATCH(J22,$D$4:$D$8,0))),"",INDEX($C$4:$C$8,MATCH(J22,$D$4:$D$8,0)))</f>
        <v/>
      </c>
      <c r="CZ22" s="79">
        <f>IF(IF(COUNTIF($CZ$4:CZ21,CZ17)&gt;=MAX($D$4:$D$8),CZ17+5,CZ17)&gt;55,"",IF(COUNTIF($CZ$4:CZ21,CZ17)&gt;=MAX($D$4:$D$8),CZ17+5,CZ17))</f>
        <v>39</v>
      </c>
      <c r="DA22" s="1" t="str">
        <f t="shared" si="40"/>
        <v>p.28～p.29</v>
      </c>
      <c r="DB22" s="8" t="str">
        <f t="shared" ref="DB22:DB85" si="68">IF(ISERROR(IF(COUNTIF(CY22:DA22,"")&gt;=1,"",CX22&amp;CY22&amp;"【"&amp;VLOOKUP(CZ22,$BL$4:$BN$58,2,0)&amp;"】"&amp;DA22)),"",IF(COUNTIF(CY22:DA22,"")&gt;=1,"",CX22&amp;CY22&amp;"【"&amp;VLOOKUP(CZ22,$BL$4:$BN$58,2,0)&amp;"】"&amp;DA22))</f>
        <v/>
      </c>
    </row>
    <row r="23" spans="1:106" x14ac:dyDescent="0.15">
      <c r="E23" s="1">
        <v>20</v>
      </c>
      <c r="F23" s="1">
        <f t="shared" si="42"/>
        <v>1</v>
      </c>
      <c r="G23" s="1">
        <f t="shared" si="60"/>
        <v>1</v>
      </c>
      <c r="H23" s="1">
        <f t="shared" si="45"/>
        <v>1</v>
      </c>
      <c r="I23" s="1">
        <f t="shared" si="50"/>
        <v>1</v>
      </c>
      <c r="J23" s="1">
        <f t="shared" si="55"/>
        <v>1</v>
      </c>
      <c r="L23" s="1" t="str">
        <f>IF(ISERROR(HLOOKUP($C$10,$F$3:$J$253,21,0)),"",HLOOKUP($C$10,$F$3:$J$253,21,0))</f>
        <v/>
      </c>
      <c r="M23" s="81" t="str">
        <f>IF(設定入力!E24="","",設定入力!E24)</f>
        <v/>
      </c>
      <c r="O23" s="6" t="str">
        <f>IF(設定入力!$E$1=2,IF(OR(M23=0,M23="",COUNT($M$1)=0),"",IF($M$1+SUM($M$4:M22)&gt;$Q$1,"",$M$1+SUM($M$4:M22))),IF(OR(M23=0,M23="",COUNT($M$2)=0),"",IF($M$2+SUM($M$4:M22)&gt;$Q$1,"",$M$2+SUM($M$4:M22))))</f>
        <v/>
      </c>
      <c r="P23" s="4" t="str">
        <f t="shared" si="14"/>
        <v/>
      </c>
      <c r="Q23" s="4" t="str">
        <f t="shared" si="15"/>
        <v/>
      </c>
      <c r="S23" s="9">
        <v>20</v>
      </c>
      <c r="T23" s="1">
        <v>20</v>
      </c>
      <c r="U23" s="1" t="s">
        <v>34</v>
      </c>
      <c r="W23" s="71">
        <f t="shared" si="16"/>
        <v>401</v>
      </c>
      <c r="X23" s="71">
        <f>IF(OR(COUNTBLANK(AA23)=1,ISERROR(AA23)),"",COUNT(AA4:AA23))</f>
        <v>20</v>
      </c>
      <c r="Y23" s="7" t="str">
        <f t="shared" si="0"/>
        <v>ナビ・</v>
      </c>
      <c r="Z23" s="1" t="str">
        <f t="shared" si="17"/>
        <v/>
      </c>
      <c r="AA23" s="79">
        <f>IF(IF(COUNTIF(AA4:AA22,AA22)&gt;=MAX(D4:D8),AA22+1,AA22)&gt;50,"",IF(COUNTIF(AA4:AA22,AA22)&gt;=MAX(D4:D8),AA22+1,AA22))</f>
        <v>40</v>
      </c>
      <c r="AB23" s="1" t="str">
        <f>IF(AA23="","",VLOOKUP(AA23,S4:U53,3,0))</f>
        <v>p.40～p.41</v>
      </c>
      <c r="AC23" s="8" t="str">
        <f t="shared" si="1"/>
        <v/>
      </c>
      <c r="AE23" s="71">
        <f t="shared" si="2"/>
        <v>401</v>
      </c>
      <c r="AF23" s="71">
        <f>IF(OR(COUNTBLANK(AI23)=1,ISERROR(AI23)),"",COUNT(AI4:AI23))</f>
        <v>20</v>
      </c>
      <c r="AG23" s="7" t="str">
        <f t="shared" si="3"/>
        <v>ナビ・</v>
      </c>
      <c r="AH23" s="1" t="str">
        <f>IF(ISERROR(INDEX(C4:C8,MATCH(G23,D4:D8,0))),"",INDEX(C4:C8,MATCH(G23,D4:D8,0)))</f>
        <v/>
      </c>
      <c r="AI23" s="79">
        <f>IF(IF(COUNTIF(AI4:AI21,AI21)&gt;=MAX(D4:D8),AI21+2,AI21)&gt;50,"",IF(COUNTIF(AI4:AI21,AI21)&gt;=MAX(D4:D8),AI21+2,AI21))</f>
        <v>40</v>
      </c>
      <c r="AJ23" s="1" t="str">
        <f>IF(AI23="","",VLOOKUP(AI23,S4:U53,3,0))</f>
        <v>p.40～p.41</v>
      </c>
      <c r="AK23" s="8" t="str">
        <f t="shared" si="4"/>
        <v/>
      </c>
      <c r="AM23" s="71">
        <f t="shared" si="5"/>
        <v>401</v>
      </c>
      <c r="AN23" s="71">
        <f>IF(OR(COUNTBLANK(AQ23)=1,ISERROR(AQ23)),"",COUNT(AQ4:AQ23))</f>
        <v>20</v>
      </c>
      <c r="AO23" s="7" t="str">
        <f t="shared" si="6"/>
        <v>ナビ・</v>
      </c>
      <c r="AP23" s="1" t="str">
        <f>IF(ISERROR(INDEX(C4:C8,MATCH(H23,D4:D8,0))),"",INDEX(C4:C8,MATCH(H23,D4:D8,0)))</f>
        <v/>
      </c>
      <c r="AQ23" s="79">
        <f>IF(IF(COUNTIF(AQ4:AQ22,AQ20)&gt;=MAX(D4:D8),AQ20+3,AQ20)&gt;50,"",IF(COUNTIF(AQ4:AQ22,AQ20)&gt;=MAX(D4:D8),AQ20+3,AQ20))</f>
        <v>40</v>
      </c>
      <c r="AR23" s="1" t="str">
        <f>IF(AQ23="","",VLOOKUP(AQ23,S4:U53,3,0))</f>
        <v>p.40～p.41</v>
      </c>
      <c r="AS23" s="8" t="str">
        <f t="shared" si="7"/>
        <v/>
      </c>
      <c r="AU23" s="71">
        <f t="shared" si="8"/>
        <v>401</v>
      </c>
      <c r="AV23" s="71">
        <f>IF(OR(COUNTBLANK(AY23)=1,ISERROR(AY23)),"",COUNT(AY4:AY23))</f>
        <v>20</v>
      </c>
      <c r="AW23" s="7" t="str">
        <f t="shared" si="9"/>
        <v>ナビ・</v>
      </c>
      <c r="AX23" s="74" t="str">
        <f>IF(ISERROR(INDEX(C4:C8,MATCH(I23,D4:D8,0))),"",INDEX(C4:C8,MATCH(I23,D4:D8,0)))</f>
        <v/>
      </c>
      <c r="AY23" s="79">
        <f>IF(IF(COUNTIF(AY4:AY22,AY19)&gt;=MAX(D4:D8),AY19+4,AY19)&gt;50,"",IF(COUNTIF(AY4:AY22,AY19)&gt;=MAX(D4:D8),AY19+4,AY19))</f>
        <v>40</v>
      </c>
      <c r="AZ23" s="76" t="str">
        <f>IF(AY23="","",VLOOKUP(AY23,S4:U53,3,0))</f>
        <v>p.40～p.41</v>
      </c>
      <c r="BA23" s="8" t="str">
        <f t="shared" si="10"/>
        <v/>
      </c>
      <c r="BC23" s="71">
        <f t="shared" si="11"/>
        <v>401</v>
      </c>
      <c r="BD23" s="71">
        <f>IF(OR(COUNTBLANK(BG23)=1,ISERROR(BG23)),"",COUNT(BG4:BG23))</f>
        <v>20</v>
      </c>
      <c r="BE23" s="7" t="str">
        <f t="shared" si="12"/>
        <v>ナビ・</v>
      </c>
      <c r="BF23" s="74" t="str">
        <f>IF(ISERROR(INDEX(C4:C8,MATCH(J23,D4:D8,0))),"",INDEX(C4:C8,MATCH(J23,D4:D8,0)))</f>
        <v/>
      </c>
      <c r="BG23" s="79">
        <f>IF(IF(COUNTIF(BG4:BG22,BG18)&gt;=MAX(D4:D8),BG18+5,BG18)&gt;50,"",IF(COUNTIF(BG4:BG22,BG18)&gt;=MAX(D4:D8),BG18+5,BG18))</f>
        <v>40</v>
      </c>
      <c r="BH23" s="76" t="str">
        <f>IF(BG23="","",VLOOKUP(BG23,S4:U53,3,0))</f>
        <v>p.40～p.41</v>
      </c>
      <c r="BI23" s="8" t="str">
        <f t="shared" si="13"/>
        <v/>
      </c>
      <c r="BL23" s="113">
        <v>20</v>
      </c>
      <c r="BM23" s="114" t="s">
        <v>119</v>
      </c>
      <c r="BN23" s="114" t="s">
        <v>140</v>
      </c>
      <c r="BP23" s="71">
        <f>IF(BT23="","",BT23*10+5)</f>
        <v>405</v>
      </c>
      <c r="BQ23" s="71">
        <f>IF(OR(COUNTBLANK(BT23)=1,ISERROR(BT23)),"",COUNT(BT4:BT23))</f>
        <v>20</v>
      </c>
      <c r="BR23" s="7" t="str">
        <f t="shared" si="18"/>
        <v>ナビ・</v>
      </c>
      <c r="BS23" s="1" t="str">
        <f t="shared" si="19"/>
        <v/>
      </c>
      <c r="BT23" s="79">
        <f>IF(IF(COUNTIF($BT$4:BT22,BT22)&gt;=MAX($D$4:$D$8),BT22+1,BT22)&gt;55,"",IF(COUNTIF($BT$4:BT22,BT22)&gt;=MAX($D$4:$D$8),BT22+1,BT22))</f>
        <v>40</v>
      </c>
      <c r="BU23" s="1" t="str">
        <f t="shared" si="20"/>
        <v>p.30～p.31</v>
      </c>
      <c r="BV23" s="8" t="str">
        <f t="shared" si="21"/>
        <v/>
      </c>
      <c r="BX23" s="71">
        <f t="shared" si="22"/>
        <v>401</v>
      </c>
      <c r="BY23" s="71">
        <f>IF(OR(COUNTBLANK(CB23)=1,ISERROR(CB23)),"",COUNT($CB$4:CB23))</f>
        <v>20</v>
      </c>
      <c r="BZ23" s="7" t="str">
        <f t="shared" si="23"/>
        <v>ナビ・</v>
      </c>
      <c r="CA23" s="1" t="str">
        <f t="shared" si="24"/>
        <v/>
      </c>
      <c r="CB23" s="79">
        <f>IF(IF(COUNTIF($CB$4:CB22,CB21)&gt;=MAX($D$4:$D$8),CB21+2,CB21)&gt;55,"",IF(COUNTIF($CB$4:CB22,CB21)&gt;=MAX($D$4:$D$8),CB21+2,CB21))</f>
        <v>40</v>
      </c>
      <c r="CC23" s="1" t="str">
        <f t="shared" si="25"/>
        <v>p.30～p.31</v>
      </c>
      <c r="CD23" s="8" t="str">
        <f t="shared" si="26"/>
        <v/>
      </c>
      <c r="CF23" s="71">
        <f t="shared" si="61"/>
        <v>401</v>
      </c>
      <c r="CG23" s="71">
        <f>IF(OR(COUNTBLANK(CJ23)=1,ISERROR(CJ23)),"",COUNT($CJ$4:CJ23))</f>
        <v>20</v>
      </c>
      <c r="CH23" s="7" t="str">
        <f t="shared" si="62"/>
        <v>ナビ・</v>
      </c>
      <c r="CI23" s="1" t="str">
        <f t="shared" si="63"/>
        <v/>
      </c>
      <c r="CJ23" s="79">
        <f>IF(IF(COUNTIF($CJ$4:CJ22,CJ20)&gt;=MAX($D$4:$D$8),CJ20+3,CJ20)&gt;55,"",IF(COUNTIF($CJ$4:CJ22,CJ20)&gt;=MAX($D$4:$D$8),CJ20+3,CJ20))</f>
        <v>40</v>
      </c>
      <c r="CK23" s="1" t="str">
        <f t="shared" si="30"/>
        <v>p.30～p.31</v>
      </c>
      <c r="CL23" s="8" t="str">
        <f t="shared" si="64"/>
        <v/>
      </c>
      <c r="CN23" s="71">
        <f t="shared" si="51"/>
        <v>401</v>
      </c>
      <c r="CO23" s="71">
        <f>IF(OR(COUNTBLANK(CR23)=1,ISERROR(CR23)),"",COUNT($CR$4:CR23))</f>
        <v>20</v>
      </c>
      <c r="CP23" s="7" t="str">
        <f t="shared" si="52"/>
        <v>ナビ・</v>
      </c>
      <c r="CQ23" s="1" t="str">
        <f t="shared" si="53"/>
        <v/>
      </c>
      <c r="CR23" s="79">
        <f>IF(IF(COUNTIF($CR$4:CR22,CR19)&gt;=MAX($D$4:$D$8),CR19+4,CR19)&gt;55,"",IF(COUNTIF($CR$4:CR22,CR19)&gt;=MAX($D$4:$D$8),CR19+4,CR19))</f>
        <v>40</v>
      </c>
      <c r="CS23" s="1" t="str">
        <f t="shared" si="35"/>
        <v>p.30～p.31</v>
      </c>
      <c r="CT23" s="8" t="str">
        <f t="shared" si="54"/>
        <v/>
      </c>
      <c r="CV23" s="71">
        <f t="shared" si="65"/>
        <v>401</v>
      </c>
      <c r="CW23" s="71">
        <f>IF(OR(COUNTBLANK(CZ23)=1,ISERROR(CZ23)),"",COUNT($CZ$4:CZ23))</f>
        <v>20</v>
      </c>
      <c r="CX23" s="7" t="str">
        <f t="shared" si="66"/>
        <v>ナビ・</v>
      </c>
      <c r="CY23" s="1" t="str">
        <f t="shared" si="67"/>
        <v/>
      </c>
      <c r="CZ23" s="79">
        <f>IF(IF(COUNTIF($CZ$4:CZ22,CZ18)&gt;=MAX($D$4:$D$8),CZ18+5,CZ18)&gt;55,"",IF(COUNTIF($CZ$4:CZ22,CZ18)&gt;=MAX($D$4:$D$8),CZ18+5,CZ18))</f>
        <v>40</v>
      </c>
      <c r="DA23" s="1" t="str">
        <f t="shared" si="40"/>
        <v>p.30～p.31</v>
      </c>
      <c r="DB23" s="8" t="str">
        <f t="shared" si="68"/>
        <v/>
      </c>
    </row>
    <row r="24" spans="1:106" x14ac:dyDescent="0.15">
      <c r="A24" t="s">
        <v>77</v>
      </c>
      <c r="B24" s="118">
        <f>IF(設定入力!C24="○",IF(設定入力!E2=1,C27*10+INDEX(D4:D8,MATCH(B27,C4:C8,0)),(C27+20)*10+INDEX(D4:D8,MATCH(B27,C4:C8,0))),IF(設定入力!E1=1,C27*10+1,(C27+20)*10+1))</f>
        <v>201</v>
      </c>
      <c r="E24" s="1">
        <v>21</v>
      </c>
      <c r="F24" s="1">
        <f t="shared" si="42"/>
        <v>1</v>
      </c>
      <c r="G24" s="1">
        <f t="shared" si="60"/>
        <v>1</v>
      </c>
      <c r="H24" s="1">
        <f t="shared" si="45"/>
        <v>1</v>
      </c>
      <c r="I24" s="1">
        <f t="shared" si="50"/>
        <v>1</v>
      </c>
      <c r="J24" s="1">
        <f t="shared" si="55"/>
        <v>1</v>
      </c>
      <c r="L24" s="1" t="str">
        <f>IF(ISERROR(HLOOKUP($C$10,$F$3:$J$253,22,0)),"",HLOOKUP($C$10,$F$3:$J$253,22,0))</f>
        <v/>
      </c>
      <c r="M24" s="81" t="str">
        <f>IF(設定入力!E25="","",設定入力!E25)</f>
        <v/>
      </c>
      <c r="O24" s="6" t="str">
        <f>IF(設定入力!$E$1=2,IF(OR(M24=0,M24="",COUNT($M$1)=0),"",IF($M$1+SUM($M$4:M23)&gt;$Q$1,"",$M$1+SUM($M$4:M23))),IF(OR(M24=0,M24="",COUNT($M$2)=0),"",IF($M$2+SUM($M$4:M23)&gt;$Q$1,"",$M$2+SUM($M$4:M23))))</f>
        <v/>
      </c>
      <c r="P24" s="4" t="str">
        <f t="shared" si="14"/>
        <v/>
      </c>
      <c r="Q24" s="4" t="str">
        <f t="shared" si="15"/>
        <v/>
      </c>
      <c r="S24" s="9">
        <v>21</v>
      </c>
      <c r="T24" s="1">
        <v>1</v>
      </c>
      <c r="U24" s="1" t="s">
        <v>15</v>
      </c>
      <c r="W24" s="71">
        <f t="shared" si="16"/>
        <v>411</v>
      </c>
      <c r="X24" s="71">
        <f>IF(OR(COUNTBLANK(AA24)=1,ISERROR(AA24)),"",COUNT(AA4:AA24))</f>
        <v>21</v>
      </c>
      <c r="Y24" s="7" t="str">
        <f t="shared" si="0"/>
        <v>ナビ・</v>
      </c>
      <c r="Z24" s="1" t="str">
        <f t="shared" si="17"/>
        <v/>
      </c>
      <c r="AA24" s="79">
        <f>IF(IF(COUNTIF(AA4:AA23,AA23)&gt;=MAX(D4:D8),AA23+1,AA23)&gt;50,"",IF(COUNTIF(AA4:AA23,AA23)&gt;=MAX(D4:D8),AA23+1,AA23))</f>
        <v>41</v>
      </c>
      <c r="AB24" s="1" t="str">
        <f>IF(AA24="","",VLOOKUP(AA24,S4:U53,3,0))</f>
        <v>p.42～p.43</v>
      </c>
      <c r="AC24" s="8" t="str">
        <f t="shared" si="1"/>
        <v/>
      </c>
      <c r="AE24" s="71">
        <f t="shared" si="2"/>
        <v>411</v>
      </c>
      <c r="AF24" s="71">
        <f>IF(OR(COUNTBLANK(AI24)=1,ISERROR(AI24)),"",COUNT(AI4:AI24))</f>
        <v>21</v>
      </c>
      <c r="AG24" s="7" t="str">
        <f t="shared" si="3"/>
        <v>ナビ・</v>
      </c>
      <c r="AH24" s="1" t="str">
        <f>IF(ISERROR(INDEX(C4:C8,MATCH(G24,D4:D8,0))),"",INDEX(C4:C8,MATCH(G24,D4:D8,0)))</f>
        <v/>
      </c>
      <c r="AI24" s="79">
        <f>IF(IF(COUNTIF(AI4:AI23,AI22)&gt;=MAX(D4:D8),AI22+2,AI22)&gt;50,"",IF(COUNTIF(AI4:AI23,AI22)&gt;=MAX(D4:D8),AI22+2,AI22))</f>
        <v>41</v>
      </c>
      <c r="AJ24" s="1" t="str">
        <f>IF(AI24="","",VLOOKUP(AI24,S4:U53,3,0))</f>
        <v>p.42～p.43</v>
      </c>
      <c r="AK24" s="8" t="str">
        <f t="shared" si="4"/>
        <v/>
      </c>
      <c r="AM24" s="71">
        <f t="shared" si="5"/>
        <v>411</v>
      </c>
      <c r="AN24" s="71">
        <f>IF(OR(COUNTBLANK(AQ24)=1,ISERROR(AQ24)),"",COUNT(AQ4:AQ24))</f>
        <v>21</v>
      </c>
      <c r="AO24" s="7" t="str">
        <f t="shared" si="6"/>
        <v>ナビ・</v>
      </c>
      <c r="AP24" s="1" t="str">
        <f>IF(ISERROR(INDEX(C4:C8,MATCH(H24,D4:D8,0))),"",INDEX(C4:C8,MATCH(H24,D4:D8,0)))</f>
        <v/>
      </c>
      <c r="AQ24" s="79">
        <f>IF(IF(COUNTIF(AQ4:AQ23,AQ21)&gt;=MAX(D4:D8),AQ21+3,AQ21)&gt;50,"",IF(COUNTIF(AQ4:AQ23,AQ21)&gt;=MAX(D4:D8),AQ21+3,AQ21))</f>
        <v>41</v>
      </c>
      <c r="AR24" s="1" t="str">
        <f>IF(AQ24="","",VLOOKUP(AQ24,S4:U53,3,0))</f>
        <v>p.42～p.43</v>
      </c>
      <c r="AS24" s="8" t="str">
        <f t="shared" si="7"/>
        <v/>
      </c>
      <c r="AU24" s="71">
        <f t="shared" si="8"/>
        <v>411</v>
      </c>
      <c r="AV24" s="71">
        <f>IF(OR(COUNTBLANK(AY24)=1,ISERROR(AY24)),"",COUNT(AY4:AY24))</f>
        <v>21</v>
      </c>
      <c r="AW24" s="7" t="str">
        <f t="shared" si="9"/>
        <v>ナビ・</v>
      </c>
      <c r="AX24" s="1" t="str">
        <f>IF(ISERROR(INDEX(C4:C8,MATCH(I24,D4:D8,0))),"",INDEX(C4:C8,MATCH(I24,D4:D8,0)))</f>
        <v/>
      </c>
      <c r="AY24" s="79">
        <f>IF(IF(COUNTIF(AY4:AY23,AY20)&gt;=MAX(D4:D8),AY20+4,AY20)&gt;50,"",IF(COUNTIF(AY4:AY23,AY20)&gt;=MAX(D4:D8),AY20+4,AY20))</f>
        <v>41</v>
      </c>
      <c r="AZ24" s="76" t="str">
        <f>IF(AY24="","",VLOOKUP(AY24,S4:U53,3,0))</f>
        <v>p.42～p.43</v>
      </c>
      <c r="BA24" s="8" t="str">
        <f t="shared" si="10"/>
        <v/>
      </c>
      <c r="BC24" s="71">
        <f t="shared" si="11"/>
        <v>411</v>
      </c>
      <c r="BD24" s="71">
        <f>IF(OR(COUNTBLANK(BG24)=1,ISERROR(BG24)),"",COUNT(BG4:BG24))</f>
        <v>21</v>
      </c>
      <c r="BE24" s="7" t="str">
        <f t="shared" si="12"/>
        <v>ナビ・</v>
      </c>
      <c r="BF24" s="74" t="str">
        <f>IF(ISERROR(INDEX(C4:C8,MATCH(J24,D4:D8,0))),"",INDEX(C4:C8,MATCH(J24,D4:D8,0)))</f>
        <v/>
      </c>
      <c r="BG24" s="79">
        <f>IF(IF(COUNTIF(BG4:BG23,BG19)&gt;=MAX(D4:D8),BG19+5,BG19)&gt;50,"",IF(COUNTIF(BG4:BG23,BG19)&gt;=MAX(D4:D8),BG19+5,BG19))</f>
        <v>41</v>
      </c>
      <c r="BH24" s="76" t="str">
        <f>IF(BG24="","",VLOOKUP(BG24,S4:U53,3,0))</f>
        <v>p.42～p.43</v>
      </c>
      <c r="BI24" s="8" t="str">
        <f t="shared" si="13"/>
        <v/>
      </c>
      <c r="BL24" s="113">
        <v>21</v>
      </c>
      <c r="BM24" s="114">
        <v>17</v>
      </c>
      <c r="BN24" s="114" t="s">
        <v>141</v>
      </c>
      <c r="BP24" s="71">
        <f>IF(BT24="","",BT24*10+1)</f>
        <v>411</v>
      </c>
      <c r="BQ24" s="71">
        <f>IF(OR(COUNTBLANK(BT24)=1,ISERROR(BT24)),"",COUNT(BT4:BT24))</f>
        <v>21</v>
      </c>
      <c r="BR24" s="7" t="str">
        <f t="shared" si="18"/>
        <v>ナビ・</v>
      </c>
      <c r="BS24" s="1" t="str">
        <f t="shared" si="19"/>
        <v/>
      </c>
      <c r="BT24" s="79">
        <f>IF(IF(COUNTIF($BT$4:BT23,BT23)&gt;=MAX($D$4:$D$8),BT23+1,BT23)&gt;55,"",IF(COUNTIF($BT$4:BT23,BT23)&gt;=MAX($D$4:$D$8),BT23+1,BT23))</f>
        <v>41</v>
      </c>
      <c r="BU24" s="1" t="str">
        <f t="shared" si="20"/>
        <v>p.32～p.33</v>
      </c>
      <c r="BV24" s="8" t="str">
        <f t="shared" si="21"/>
        <v/>
      </c>
      <c r="BX24" s="71">
        <f t="shared" si="22"/>
        <v>411</v>
      </c>
      <c r="BY24" s="71">
        <f>IF(OR(COUNTBLANK(CB24)=1,ISERROR(CB24)),"",COUNT($CB$4:CB24))</f>
        <v>21</v>
      </c>
      <c r="BZ24" s="7" t="str">
        <f t="shared" si="23"/>
        <v>ナビ・</v>
      </c>
      <c r="CA24" s="1" t="str">
        <f t="shared" si="24"/>
        <v/>
      </c>
      <c r="CB24" s="79">
        <f>IF(IF(COUNTIF($CB$4:CB23,CB22)&gt;=MAX($D$4:$D$8),CB22+2,CB22)&gt;55,"",IF(COUNTIF($CB$4:CB23,CB22)&gt;=MAX($D$4:$D$8),CB22+2,CB22))</f>
        <v>41</v>
      </c>
      <c r="CC24" s="1" t="str">
        <f t="shared" si="25"/>
        <v>p.32～p.33</v>
      </c>
      <c r="CD24" s="8" t="str">
        <f t="shared" si="26"/>
        <v/>
      </c>
      <c r="CF24" s="71">
        <f t="shared" si="61"/>
        <v>411</v>
      </c>
      <c r="CG24" s="71">
        <f>IF(OR(COUNTBLANK(CJ24)=1,ISERROR(CJ24)),"",COUNT($CJ$4:CJ24))</f>
        <v>21</v>
      </c>
      <c r="CH24" s="7" t="str">
        <f t="shared" si="62"/>
        <v>ナビ・</v>
      </c>
      <c r="CI24" s="1" t="str">
        <f t="shared" si="63"/>
        <v/>
      </c>
      <c r="CJ24" s="79">
        <f>IF(IF(COUNTIF($CJ$4:CJ23,CJ21)&gt;=MAX($D$4:$D$8),CJ21+3,CJ21)&gt;55,"",IF(COUNTIF($CJ$4:CJ23,CJ21)&gt;=MAX($D$4:$D$8),CJ21+3,CJ21))</f>
        <v>41</v>
      </c>
      <c r="CK24" s="1" t="str">
        <f t="shared" si="30"/>
        <v>p.32～p.33</v>
      </c>
      <c r="CL24" s="8" t="str">
        <f t="shared" si="64"/>
        <v/>
      </c>
      <c r="CN24" s="71">
        <f t="shared" si="51"/>
        <v>411</v>
      </c>
      <c r="CO24" s="71">
        <f>IF(OR(COUNTBLANK(CR24)=1,ISERROR(CR24)),"",COUNT($CR$4:CR24))</f>
        <v>21</v>
      </c>
      <c r="CP24" s="7" t="str">
        <f t="shared" si="52"/>
        <v>ナビ・</v>
      </c>
      <c r="CQ24" s="1" t="str">
        <f t="shared" si="53"/>
        <v/>
      </c>
      <c r="CR24" s="79">
        <f>IF(IF(COUNTIF($CR$4:CR23,CR20)&gt;=MAX($D$4:$D$8),CR20+4,CR20)&gt;55,"",IF(COUNTIF($CR$4:CR23,CR20)&gt;=MAX($D$4:$D$8),CR20+4,CR20))</f>
        <v>41</v>
      </c>
      <c r="CS24" s="1" t="str">
        <f t="shared" si="35"/>
        <v>p.32～p.33</v>
      </c>
      <c r="CT24" s="8" t="str">
        <f t="shared" si="54"/>
        <v/>
      </c>
      <c r="CV24" s="71">
        <f t="shared" si="65"/>
        <v>411</v>
      </c>
      <c r="CW24" s="71">
        <f>IF(OR(COUNTBLANK(CZ24)=1,ISERROR(CZ24)),"",COUNT($CZ$4:CZ24))</f>
        <v>21</v>
      </c>
      <c r="CX24" s="7" t="str">
        <f t="shared" si="66"/>
        <v>ナビ・</v>
      </c>
      <c r="CY24" s="1" t="str">
        <f t="shared" si="67"/>
        <v/>
      </c>
      <c r="CZ24" s="79">
        <f>IF(IF(COUNTIF($CZ$4:CZ23,CZ19)&gt;=MAX($D$4:$D$8),CZ19+5,CZ19)&gt;55,"",IF(COUNTIF($CZ$4:CZ23,CZ19)&gt;=MAX($D$4:$D$8),CZ19+5,CZ19))</f>
        <v>41</v>
      </c>
      <c r="DA24" s="1" t="str">
        <f t="shared" si="40"/>
        <v>p.32～p.33</v>
      </c>
      <c r="DB24" s="8" t="str">
        <f t="shared" si="68"/>
        <v/>
      </c>
    </row>
    <row r="25" spans="1:106" x14ac:dyDescent="0.15">
      <c r="A25" s="126" t="s">
        <v>156</v>
      </c>
      <c r="B25" s="127" t="e">
        <f>IF(設定入力!C24="○",IF(設定入力!E2=1,C28*10+INDEX(D4:D8,MATCH(B28,C4:C8,0)),(C28+20)*10+INDEX(D4:D8,MATCH(B28,C4:C8,0))),IF(設定入力!E6=1,C28*10+1,(C28+20)*10+1))</f>
        <v>#N/A</v>
      </c>
      <c r="E25" s="1">
        <v>22</v>
      </c>
      <c r="F25" s="1">
        <f t="shared" si="42"/>
        <v>1</v>
      </c>
      <c r="G25" s="1">
        <f t="shared" si="60"/>
        <v>1</v>
      </c>
      <c r="H25" s="1">
        <f t="shared" si="45"/>
        <v>1</v>
      </c>
      <c r="I25" s="1">
        <f t="shared" si="50"/>
        <v>1</v>
      </c>
      <c r="J25" s="1">
        <f t="shared" si="55"/>
        <v>1</v>
      </c>
      <c r="L25" s="1" t="str">
        <f>IF(ISERROR(HLOOKUP($C$10,$F$3:$J$253,23,0)),"",HLOOKUP($C$10,$F$3:$J$253,23,0))</f>
        <v/>
      </c>
      <c r="M25" s="81" t="str">
        <f>IF(設定入力!E26="","",設定入力!E26)</f>
        <v/>
      </c>
      <c r="O25" s="6" t="str">
        <f>IF(設定入力!$E$1=2,IF(OR(M25=0,M25="",COUNT($M$1)=0),"",IF($M$1+SUM($M$4:M24)&gt;$Q$1,"",$M$1+SUM($M$4:M24))),IF(OR(M25=0,M25="",COUNT($M$2)=0),"",IF($M$2+SUM($M$4:M24)&gt;$Q$1,"",$M$2+SUM($M$4:M24))))</f>
        <v/>
      </c>
      <c r="P25" s="4" t="str">
        <f t="shared" si="14"/>
        <v/>
      </c>
      <c r="Q25" s="4" t="str">
        <f t="shared" si="15"/>
        <v/>
      </c>
      <c r="S25" s="9">
        <v>22</v>
      </c>
      <c r="T25" s="1">
        <v>2</v>
      </c>
      <c r="U25" s="1" t="s">
        <v>16</v>
      </c>
      <c r="W25" s="71">
        <f t="shared" si="16"/>
        <v>421</v>
      </c>
      <c r="X25" s="71">
        <f>IF(OR(COUNTBLANK(AA25)=1,ISERROR(AA25)),"",COUNT(AA4:AA25))</f>
        <v>22</v>
      </c>
      <c r="Y25" s="7" t="str">
        <f t="shared" si="0"/>
        <v>ナビ・</v>
      </c>
      <c r="Z25" s="1" t="str">
        <f t="shared" si="17"/>
        <v/>
      </c>
      <c r="AA25" s="79">
        <f>IF(IF(COUNTIF(AA4:AA24,AA24)&gt;=MAX(D4:D8),AA24+1,AA24)&gt;50,"",IF(COUNTIF(AA4:AA24,AA24)&gt;=MAX(D4:D8),AA24+1,AA24))</f>
        <v>42</v>
      </c>
      <c r="AB25" s="1" t="str">
        <f>IF(AA25="","",VLOOKUP(AA25,S4:U53,3,0))</f>
        <v>p.44～p.45</v>
      </c>
      <c r="AC25" s="8" t="str">
        <f t="shared" si="1"/>
        <v/>
      </c>
      <c r="AE25" s="71">
        <f t="shared" si="2"/>
        <v>421</v>
      </c>
      <c r="AF25" s="71">
        <f>IF(OR(COUNTBLANK(AI25)=1,ISERROR(AI25)),"",COUNT(AI4:AI25))</f>
        <v>22</v>
      </c>
      <c r="AG25" s="7" t="str">
        <f t="shared" si="3"/>
        <v>ナビ・</v>
      </c>
      <c r="AH25" s="1" t="str">
        <f>IF(ISERROR(INDEX(C4:C8,MATCH(G25,D4:D8,0))),"",INDEX(C4:C8,MATCH(G25,D4:D8,0)))</f>
        <v/>
      </c>
      <c r="AI25" s="79">
        <f>IF(IF(COUNTIF(AI4:AI23,AI23)&gt;=MAX(D4:D8),AI23+2,AI23)&gt;50,"",IF(COUNTIF(AI4:AI23,AI23)&gt;=MAX(D4:D8),AI23+2,AI23))</f>
        <v>42</v>
      </c>
      <c r="AJ25" s="1" t="str">
        <f>IF(AI25="","",VLOOKUP(AI25,S4:U53,3,0))</f>
        <v>p.44～p.45</v>
      </c>
      <c r="AK25" s="8" t="str">
        <f t="shared" si="4"/>
        <v/>
      </c>
      <c r="AM25" s="71">
        <f t="shared" si="5"/>
        <v>421</v>
      </c>
      <c r="AN25" s="71">
        <f>IF(OR(COUNTBLANK(AQ25)=1,ISERROR(AQ25)),"",COUNT(AQ4:AQ25))</f>
        <v>22</v>
      </c>
      <c r="AO25" s="7" t="str">
        <f t="shared" si="6"/>
        <v>ナビ・</v>
      </c>
      <c r="AP25" s="1" t="str">
        <f>IF(ISERROR(INDEX(C4:C8,MATCH(H25,D4:D8,0))),"",INDEX(C4:C8,MATCH(H25,D4:D8,0)))</f>
        <v/>
      </c>
      <c r="AQ25" s="79">
        <f>IF(IF(COUNTIF(AQ4:AQ24,AQ22)&gt;=MAX(D4:D8),AQ22+3,AQ22)&gt;50,"",IF(COUNTIF(AQ4:AQ24,AQ22)&gt;=MAX(D4:D8),AQ22+3,AQ22))</f>
        <v>42</v>
      </c>
      <c r="AR25" s="1" t="str">
        <f>IF(AQ25="","",VLOOKUP(AQ25,S4:U53,3,0))</f>
        <v>p.44～p.45</v>
      </c>
      <c r="AS25" s="8" t="str">
        <f t="shared" si="7"/>
        <v/>
      </c>
      <c r="AU25" s="71">
        <f t="shared" si="8"/>
        <v>421</v>
      </c>
      <c r="AV25" s="71">
        <f>IF(OR(COUNTBLANK(AY25)=1,ISERROR(AY25)),"",COUNT(AY4:AY25))</f>
        <v>22</v>
      </c>
      <c r="AW25" s="7" t="str">
        <f t="shared" si="9"/>
        <v>ナビ・</v>
      </c>
      <c r="AX25" s="1" t="str">
        <f>IF(ISERROR(INDEX(C4:C8,MATCH(I25,D4:D8,0))),"",INDEX(C4:C8,MATCH(I25,D4:D8,0)))</f>
        <v/>
      </c>
      <c r="AY25" s="79">
        <f>IF(IF(COUNTIF(AY4:AY24,AY21)&gt;=MAX(D4:D8),AY21+4,AY21)&gt;50,"",IF(COUNTIF(AY4:AY24,AY21)&gt;=MAX(D4:D8),AY21+4,AY21))</f>
        <v>42</v>
      </c>
      <c r="AZ25" s="76" t="str">
        <f>IF(AY25="","",VLOOKUP(AY25,S4:U53,3,0))</f>
        <v>p.44～p.45</v>
      </c>
      <c r="BA25" s="8" t="str">
        <f t="shared" si="10"/>
        <v/>
      </c>
      <c r="BC25" s="71">
        <f t="shared" si="11"/>
        <v>421</v>
      </c>
      <c r="BD25" s="71">
        <f>IF(OR(COUNTBLANK(BG25)=1,ISERROR(BG25)),"",COUNT(BG4:BG25))</f>
        <v>22</v>
      </c>
      <c r="BE25" s="7" t="str">
        <f t="shared" si="12"/>
        <v>ナビ・</v>
      </c>
      <c r="BF25" s="74" t="str">
        <f>IF(ISERROR(INDEX(C4:C8,MATCH(J25,D4:D8,0))),"",INDEX(C4:C8,MATCH(J25,D4:D8,0)))</f>
        <v/>
      </c>
      <c r="BG25" s="79">
        <f>IF(IF(COUNTIF(BG4:BG24,BG20)&gt;=MAX(D4:D8),BG20+5,BG20)&gt;50,"",IF(COUNTIF(BG4:BG24,BG20)&gt;=MAX(D4:D8),BG20+5,BG20))</f>
        <v>42</v>
      </c>
      <c r="BH25" s="76" t="str">
        <f>IF(BG25="","",VLOOKUP(BG25,S4:U53,3,0))</f>
        <v>p.44～p.45</v>
      </c>
      <c r="BI25" s="8" t="str">
        <f t="shared" si="13"/>
        <v/>
      </c>
      <c r="BL25" s="113">
        <v>22</v>
      </c>
      <c r="BM25" s="114">
        <v>18</v>
      </c>
      <c r="BN25" s="114" t="s">
        <v>142</v>
      </c>
      <c r="BP25" s="71">
        <f>IF(BT25="","",BT25*10+2)</f>
        <v>422</v>
      </c>
      <c r="BQ25" s="71">
        <f>IF(OR(COUNTBLANK(BT25)=1,ISERROR(BT25)),"",COUNT(BT4:BT25))</f>
        <v>22</v>
      </c>
      <c r="BR25" s="7" t="str">
        <f t="shared" si="18"/>
        <v>ナビ・</v>
      </c>
      <c r="BS25" s="1" t="str">
        <f t="shared" si="19"/>
        <v/>
      </c>
      <c r="BT25" s="79">
        <f>IF(IF(COUNTIF($BT$4:BT24,BT24)&gt;=MAX($D$4:$D$8),BT24+1,BT24)&gt;55,"",IF(COUNTIF($BT$4:BT24,BT24)&gt;=MAX($D$4:$D$8),BT24+1,BT24))</f>
        <v>42</v>
      </c>
      <c r="BU25" s="1" t="str">
        <f t="shared" si="20"/>
        <v>p.34～p.35</v>
      </c>
      <c r="BV25" s="8" t="str">
        <f t="shared" si="21"/>
        <v/>
      </c>
      <c r="BX25" s="71">
        <f t="shared" si="22"/>
        <v>421</v>
      </c>
      <c r="BY25" s="71">
        <f>IF(OR(COUNTBLANK(CB25)=1,ISERROR(CB25)),"",COUNT($CB$4:CB25))</f>
        <v>22</v>
      </c>
      <c r="BZ25" s="7" t="str">
        <f t="shared" si="23"/>
        <v>ナビ・</v>
      </c>
      <c r="CA25" s="1" t="str">
        <f t="shared" si="24"/>
        <v/>
      </c>
      <c r="CB25" s="79">
        <f>IF(IF(COUNTIF($CB$4:CB24,CB23)&gt;=MAX($D$4:$D$8),CB23+2,CB23)&gt;55,"",IF(COUNTIF($CB$4:CB24,CB23)&gt;=MAX($D$4:$D$8),CB23+2,CB23))</f>
        <v>42</v>
      </c>
      <c r="CC25" s="1" t="str">
        <f t="shared" si="25"/>
        <v>p.34～p.35</v>
      </c>
      <c r="CD25" s="8" t="str">
        <f t="shared" si="26"/>
        <v/>
      </c>
      <c r="CF25" s="71">
        <f t="shared" si="61"/>
        <v>421</v>
      </c>
      <c r="CG25" s="71">
        <f>IF(OR(COUNTBLANK(CJ25)=1,ISERROR(CJ25)),"",COUNT($CJ$4:CJ25))</f>
        <v>22</v>
      </c>
      <c r="CH25" s="7" t="str">
        <f t="shared" si="62"/>
        <v>ナビ・</v>
      </c>
      <c r="CI25" s="1" t="str">
        <f t="shared" si="63"/>
        <v/>
      </c>
      <c r="CJ25" s="79">
        <f>IF(IF(COUNTIF($CJ$4:CJ24,CJ22)&gt;=MAX($D$4:$D$8),CJ22+3,CJ22)&gt;55,"",IF(COUNTIF($CJ$4:CJ24,CJ22)&gt;=MAX($D$4:$D$8),CJ22+3,CJ22))</f>
        <v>42</v>
      </c>
      <c r="CK25" s="1" t="str">
        <f t="shared" si="30"/>
        <v>p.34～p.35</v>
      </c>
      <c r="CL25" s="8" t="str">
        <f t="shared" si="64"/>
        <v/>
      </c>
      <c r="CN25" s="71">
        <f t="shared" si="51"/>
        <v>421</v>
      </c>
      <c r="CO25" s="71">
        <f>IF(OR(COUNTBLANK(CR25)=1,ISERROR(CR25)),"",COUNT($CR$4:CR25))</f>
        <v>22</v>
      </c>
      <c r="CP25" s="7" t="str">
        <f t="shared" si="52"/>
        <v>ナビ・</v>
      </c>
      <c r="CQ25" s="1" t="str">
        <f t="shared" si="53"/>
        <v/>
      </c>
      <c r="CR25" s="79">
        <f>IF(IF(COUNTIF($CR$4:CR24,CR21)&gt;=MAX($D$4:$D$8),CR21+4,CR21)&gt;55,"",IF(COUNTIF($CR$4:CR24,CR21)&gt;=MAX($D$4:$D$8),CR21+4,CR21))</f>
        <v>42</v>
      </c>
      <c r="CS25" s="1" t="str">
        <f t="shared" si="35"/>
        <v>p.34～p.35</v>
      </c>
      <c r="CT25" s="8" t="str">
        <f t="shared" si="54"/>
        <v/>
      </c>
      <c r="CV25" s="71">
        <f t="shared" si="65"/>
        <v>421</v>
      </c>
      <c r="CW25" s="71">
        <f>IF(OR(COUNTBLANK(CZ25)=1,ISERROR(CZ25)),"",COUNT($CZ$4:CZ25))</f>
        <v>22</v>
      </c>
      <c r="CX25" s="7" t="str">
        <f t="shared" si="66"/>
        <v>ナビ・</v>
      </c>
      <c r="CY25" s="1" t="str">
        <f t="shared" si="67"/>
        <v/>
      </c>
      <c r="CZ25" s="79">
        <f>IF(IF(COUNTIF($CZ$4:CZ24,CZ20)&gt;=MAX($D$4:$D$8),CZ20+5,CZ20)&gt;55,"",IF(COUNTIF($CZ$4:CZ24,CZ20)&gt;=MAX($D$4:$D$8),CZ20+5,CZ20))</f>
        <v>42</v>
      </c>
      <c r="DA25" s="1" t="str">
        <f t="shared" si="40"/>
        <v>p.34～p.35</v>
      </c>
      <c r="DB25" s="8" t="str">
        <f t="shared" si="68"/>
        <v/>
      </c>
    </row>
    <row r="26" spans="1:106" x14ac:dyDescent="0.15">
      <c r="A26" t="s">
        <v>78</v>
      </c>
      <c r="B26" t="s">
        <v>59</v>
      </c>
      <c r="C26" t="s">
        <v>14</v>
      </c>
      <c r="E26" s="1">
        <v>23</v>
      </c>
      <c r="F26" s="1">
        <f t="shared" si="42"/>
        <v>1</v>
      </c>
      <c r="G26" s="1">
        <f t="shared" si="60"/>
        <v>1</v>
      </c>
      <c r="H26" s="1">
        <f t="shared" si="45"/>
        <v>1</v>
      </c>
      <c r="I26" s="1">
        <f t="shared" si="50"/>
        <v>1</v>
      </c>
      <c r="J26" s="1">
        <f t="shared" si="55"/>
        <v>1</v>
      </c>
      <c r="L26" s="1" t="str">
        <f>IF(ISERROR(HLOOKUP($C$10,$F$3:$J$253,24,0)),"",HLOOKUP($C$10,$F$3:$J$253,24,0))</f>
        <v/>
      </c>
      <c r="M26" s="81" t="str">
        <f>IF(設定入力!E27="","",設定入力!E27)</f>
        <v/>
      </c>
      <c r="O26" s="6" t="str">
        <f>IF(設定入力!$E$1=2,IF(OR(M26=0,M26="",COUNT($M$1)=0),"",IF($M$1+SUM($M$4:M25)&gt;$Q$1,"",$M$1+SUM($M$4:M25))),IF(OR(M26=0,M26="",COUNT($M$2)=0),"",IF($M$2+SUM($M$4:M25)&gt;$Q$1,"",$M$2+SUM($M$4:M25))))</f>
        <v/>
      </c>
      <c r="P26" s="4" t="str">
        <f t="shared" si="14"/>
        <v/>
      </c>
      <c r="Q26" s="4" t="str">
        <f t="shared" si="15"/>
        <v/>
      </c>
      <c r="S26" s="9">
        <v>23</v>
      </c>
      <c r="T26" s="1">
        <v>3</v>
      </c>
      <c r="U26" s="1" t="s">
        <v>17</v>
      </c>
      <c r="W26" s="71">
        <f t="shared" si="16"/>
        <v>431</v>
      </c>
      <c r="X26" s="71">
        <f>IF(OR(COUNTBLANK(AA26)=1,ISERROR(AA26)),"",COUNT(AA4:AA26))</f>
        <v>23</v>
      </c>
      <c r="Y26" s="7" t="str">
        <f t="shared" si="0"/>
        <v>ナビ・</v>
      </c>
      <c r="Z26" s="1" t="str">
        <f t="shared" si="17"/>
        <v/>
      </c>
      <c r="AA26" s="79">
        <f>IF(IF(COUNTIF(AA4:AA25,AA25)&gt;=MAX(D4:D8),AA25+1,AA25)&gt;50,"",IF(COUNTIF(AA4:AA25,AA25)&gt;=MAX(D4:D8),AA25+1,AA25))</f>
        <v>43</v>
      </c>
      <c r="AB26" s="1" t="str">
        <f>IF(AA26="","",VLOOKUP(AA26,S4:U53,3,0))</f>
        <v>p.46～p.47</v>
      </c>
      <c r="AC26" s="8" t="str">
        <f t="shared" si="1"/>
        <v/>
      </c>
      <c r="AE26" s="71">
        <f t="shared" si="2"/>
        <v>431</v>
      </c>
      <c r="AF26" s="71">
        <f>IF(OR(COUNTBLANK(AI26)=1,ISERROR(AI26)),"",COUNT(AI4:AI26))</f>
        <v>23</v>
      </c>
      <c r="AG26" s="7" t="str">
        <f t="shared" si="3"/>
        <v>ナビ・</v>
      </c>
      <c r="AH26" s="1" t="str">
        <f>IF(ISERROR(INDEX(C4:C8,MATCH(G26,D4:D8,0))),"",INDEX(C4:C8,MATCH(G26,D4:D8,0)))</f>
        <v/>
      </c>
      <c r="AI26" s="79">
        <f>IF(IF(COUNTIF(AI4:AI25,AI24)&gt;=MAX(D4:D8),AI24+2,AI24)&gt;50,"",IF(COUNTIF(AI4:AI25,AI24)&gt;=MAX(D4:D8),AI24+2,AI24))</f>
        <v>43</v>
      </c>
      <c r="AJ26" s="1" t="str">
        <f>IF(AI26="","",VLOOKUP(AI26,S4:U53,3,0))</f>
        <v>p.46～p.47</v>
      </c>
      <c r="AK26" s="8" t="str">
        <f t="shared" si="4"/>
        <v/>
      </c>
      <c r="AM26" s="71">
        <f t="shared" si="5"/>
        <v>431</v>
      </c>
      <c r="AN26" s="71">
        <f>IF(OR(COUNTBLANK(AQ26)=1,ISERROR(AQ26)),"",COUNT(AQ4:AQ26))</f>
        <v>23</v>
      </c>
      <c r="AO26" s="7" t="str">
        <f t="shared" si="6"/>
        <v>ナビ・</v>
      </c>
      <c r="AP26" s="1" t="str">
        <f>IF(ISERROR(INDEX(C4:C8,MATCH(H26,D4:D8,0))),"",INDEX(C4:C8,MATCH(H26,D4:D8,0)))</f>
        <v/>
      </c>
      <c r="AQ26" s="79">
        <f>IF(IF(COUNTIF(AQ4:AQ25,AQ23)&gt;=MAX(D4:D8),AQ23+3,AQ23)&gt;50,"",IF(COUNTIF(AQ4:AQ25,AQ23)&gt;=MAX(D4:D8),AQ23+3,AQ23))</f>
        <v>43</v>
      </c>
      <c r="AR26" s="1" t="str">
        <f>IF(AQ26="","",VLOOKUP(AQ26,S4:U53,3,0))</f>
        <v>p.46～p.47</v>
      </c>
      <c r="AS26" s="8" t="str">
        <f t="shared" si="7"/>
        <v/>
      </c>
      <c r="AU26" s="71">
        <f t="shared" si="8"/>
        <v>431</v>
      </c>
      <c r="AV26" s="71">
        <f>IF(OR(COUNTBLANK(AY26)=1,ISERROR(AY26)),"",COUNT(AY4:AY26))</f>
        <v>23</v>
      </c>
      <c r="AW26" s="7" t="str">
        <f t="shared" si="9"/>
        <v>ナビ・</v>
      </c>
      <c r="AX26" s="1" t="str">
        <f>IF(ISERROR(INDEX(C4:C8,MATCH(I26,D4:D8,0))),"",INDEX(C4:C8,MATCH(I26,D4:D8,0)))</f>
        <v/>
      </c>
      <c r="AY26" s="79">
        <f>IF(IF(COUNTIF(AY4:AY25,AY22)&gt;=MAX(D4:D8),AY22+4,AY22)&gt;50,"",IF(COUNTIF(AY4:AY25,AY22)&gt;=MAX(D4:D8),AY22+4,AY22))</f>
        <v>43</v>
      </c>
      <c r="AZ26" s="76" t="str">
        <f>IF(AY26="","",VLOOKUP(AY26,S4:U53,3,0))</f>
        <v>p.46～p.47</v>
      </c>
      <c r="BA26" s="8" t="str">
        <f t="shared" si="10"/>
        <v/>
      </c>
      <c r="BC26" s="71">
        <f t="shared" si="11"/>
        <v>431</v>
      </c>
      <c r="BD26" s="71">
        <f>IF(OR(COUNTBLANK(BG26)=1,ISERROR(BG26)),"",COUNT(BG4:BG26))</f>
        <v>23</v>
      </c>
      <c r="BE26" s="7" t="str">
        <f t="shared" si="12"/>
        <v>ナビ・</v>
      </c>
      <c r="BF26" s="74" t="str">
        <f>IF(ISERROR(INDEX(C4:C8,MATCH(J26,D4:D8,0))),"",INDEX(C4:C8,MATCH(J26,D4:D8,0)))</f>
        <v/>
      </c>
      <c r="BG26" s="79">
        <f>IF(IF(COUNTIF(BG4:BG25,BG21)&gt;=MAX(D4:D8),BG21+5,BG21)&gt;50,"",IF(COUNTIF(BG4:BG25,BG21)&gt;=MAX(D4:D8),BG21+5,BG21))</f>
        <v>43</v>
      </c>
      <c r="BH26" s="76" t="str">
        <f>IF(BG26="","",VLOOKUP(BG26,S4:U53,3,0))</f>
        <v>p.46～p.47</v>
      </c>
      <c r="BI26" s="8" t="str">
        <f t="shared" si="13"/>
        <v/>
      </c>
      <c r="BL26" s="113">
        <v>23</v>
      </c>
      <c r="BM26" s="114">
        <v>19</v>
      </c>
      <c r="BN26" s="114" t="s">
        <v>143</v>
      </c>
      <c r="BP26" s="71">
        <f>IF(BT26="","",BT26*10+3)</f>
        <v>433</v>
      </c>
      <c r="BQ26" s="71">
        <f>IF(OR(COUNTBLANK(BT26)=1,ISERROR(BT26)),"",COUNT(BT4:BT26))</f>
        <v>23</v>
      </c>
      <c r="BR26" s="7" t="str">
        <f t="shared" si="18"/>
        <v>ナビ・</v>
      </c>
      <c r="BS26" s="1" t="str">
        <f t="shared" si="19"/>
        <v/>
      </c>
      <c r="BT26" s="79">
        <f>IF(IF(COUNTIF($BT$4:BT25,BT25)&gt;=MAX($D$4:$D$8),BT25+1,BT25)&gt;55,"",IF(COUNTIF($BT$4:BT25,BT25)&gt;=MAX($D$4:$D$8),BT25+1,BT25))</f>
        <v>43</v>
      </c>
      <c r="BU26" s="1" t="str">
        <f t="shared" si="20"/>
        <v>p.36～p.37</v>
      </c>
      <c r="BV26" s="8" t="str">
        <f t="shared" si="21"/>
        <v/>
      </c>
      <c r="BX26" s="71">
        <f t="shared" si="22"/>
        <v>431</v>
      </c>
      <c r="BY26" s="71">
        <f>IF(OR(COUNTBLANK(CB26)=1,ISERROR(CB26)),"",COUNT($CB$4:CB26))</f>
        <v>23</v>
      </c>
      <c r="BZ26" s="7" t="str">
        <f t="shared" si="23"/>
        <v>ナビ・</v>
      </c>
      <c r="CA26" s="1" t="str">
        <f t="shared" si="24"/>
        <v/>
      </c>
      <c r="CB26" s="79">
        <f>IF(IF(COUNTIF($CB$4:CB25,CB24)&gt;=MAX($D$4:$D$8),CB24+2,CB24)&gt;55,"",IF(COUNTIF($CB$4:CB25,CB24)&gt;=MAX($D$4:$D$8),CB24+2,CB24))</f>
        <v>43</v>
      </c>
      <c r="CC26" s="1" t="str">
        <f t="shared" si="25"/>
        <v>p.36～p.37</v>
      </c>
      <c r="CD26" s="8" t="str">
        <f t="shared" si="26"/>
        <v/>
      </c>
      <c r="CF26" s="71">
        <f t="shared" si="61"/>
        <v>431</v>
      </c>
      <c r="CG26" s="71">
        <f>IF(OR(COUNTBLANK(CJ26)=1,ISERROR(CJ26)),"",COUNT($CJ$4:CJ26))</f>
        <v>23</v>
      </c>
      <c r="CH26" s="7" t="str">
        <f t="shared" si="62"/>
        <v>ナビ・</v>
      </c>
      <c r="CI26" s="1" t="str">
        <f t="shared" si="63"/>
        <v/>
      </c>
      <c r="CJ26" s="79">
        <f>IF(IF(COUNTIF($CJ$4:CJ25,CJ23)&gt;=MAX($D$4:$D$8),CJ23+3,CJ23)&gt;55,"",IF(COUNTIF($CJ$4:CJ25,CJ23)&gt;=MAX($D$4:$D$8),CJ23+3,CJ23))</f>
        <v>43</v>
      </c>
      <c r="CK26" s="1" t="str">
        <f t="shared" si="30"/>
        <v>p.36～p.37</v>
      </c>
      <c r="CL26" s="8" t="str">
        <f t="shared" si="64"/>
        <v/>
      </c>
      <c r="CN26" s="71">
        <f t="shared" si="51"/>
        <v>431</v>
      </c>
      <c r="CO26" s="71">
        <f>IF(OR(COUNTBLANK(CR26)=1,ISERROR(CR26)),"",COUNT($CR$4:CR26))</f>
        <v>23</v>
      </c>
      <c r="CP26" s="7" t="str">
        <f t="shared" si="52"/>
        <v>ナビ・</v>
      </c>
      <c r="CQ26" s="1" t="str">
        <f t="shared" si="53"/>
        <v/>
      </c>
      <c r="CR26" s="79">
        <f>IF(IF(COUNTIF($CR$4:CR25,CR22)&gt;=MAX($D$4:$D$8),CR22+4,CR22)&gt;55,"",IF(COUNTIF($CR$4:CR25,CR22)&gt;=MAX($D$4:$D$8),CR22+4,CR22))</f>
        <v>43</v>
      </c>
      <c r="CS26" s="1" t="str">
        <f t="shared" si="35"/>
        <v>p.36～p.37</v>
      </c>
      <c r="CT26" s="8" t="str">
        <f t="shared" si="54"/>
        <v/>
      </c>
      <c r="CV26" s="71">
        <f t="shared" si="65"/>
        <v>431</v>
      </c>
      <c r="CW26" s="71">
        <f>IF(OR(COUNTBLANK(CZ26)=1,ISERROR(CZ26)),"",COUNT($CZ$4:CZ26))</f>
        <v>23</v>
      </c>
      <c r="CX26" s="7" t="str">
        <f t="shared" si="66"/>
        <v>ナビ・</v>
      </c>
      <c r="CY26" s="1" t="str">
        <f t="shared" si="67"/>
        <v/>
      </c>
      <c r="CZ26" s="79">
        <f>IF(IF(COUNTIF($CZ$4:CZ25,CZ21)&gt;=MAX($D$4:$D$8),CZ21+5,CZ21)&gt;55,"",IF(COUNTIF($CZ$4:CZ25,CZ21)&gt;=MAX($D$4:$D$8),CZ21+5,CZ21))</f>
        <v>43</v>
      </c>
      <c r="DA26" s="1" t="str">
        <f t="shared" si="40"/>
        <v>p.36～p.37</v>
      </c>
      <c r="DB26" s="8" t="str">
        <f t="shared" si="68"/>
        <v/>
      </c>
    </row>
    <row r="27" spans="1:106" x14ac:dyDescent="0.15">
      <c r="A27" s="121" t="str">
        <f>IF(設定入力!E1=1,"1・2年","色ナビ")</f>
        <v>色ナビ</v>
      </c>
      <c r="B27" s="121">
        <f>設定入力!C30</f>
        <v>0</v>
      </c>
      <c r="C27">
        <f>IF(設定入力!E1=2,"",設定入力!C32)</f>
        <v>0</v>
      </c>
      <c r="E27" s="1">
        <v>24</v>
      </c>
      <c r="F27" s="1">
        <f t="shared" si="42"/>
        <v>1</v>
      </c>
      <c r="G27" s="1">
        <f t="shared" si="60"/>
        <v>1</v>
      </c>
      <c r="H27" s="1">
        <f t="shared" si="45"/>
        <v>1</v>
      </c>
      <c r="I27" s="1">
        <f t="shared" si="50"/>
        <v>1</v>
      </c>
      <c r="J27" s="1">
        <f t="shared" si="55"/>
        <v>1</v>
      </c>
      <c r="L27" s="1" t="str">
        <f>IF(ISERROR(HLOOKUP($C$10,$F$3:$J$253,25,0)),"",HLOOKUP($C$10,$F$3:$J$253,25,0))</f>
        <v/>
      </c>
      <c r="M27" s="81" t="str">
        <f>IF(設定入力!E28="","",設定入力!E28)</f>
        <v/>
      </c>
      <c r="O27" s="6" t="str">
        <f>IF(設定入力!$E$1=2,IF(OR(M27=0,M27="",COUNT($M$1)=0),"",IF($M$1+SUM($M$4:M26)&gt;$Q$1,"",$M$1+SUM($M$4:M26))),IF(OR(M27=0,M27="",COUNT($M$2)=0),"",IF($M$2+SUM($M$4:M26)&gt;$Q$1,"",$M$2+SUM($M$4:M26))))</f>
        <v/>
      </c>
      <c r="P27" s="4" t="str">
        <f t="shared" si="14"/>
        <v/>
      </c>
      <c r="Q27" s="4" t="str">
        <f t="shared" si="15"/>
        <v/>
      </c>
      <c r="S27" s="9">
        <v>24</v>
      </c>
      <c r="T27" s="1">
        <v>4</v>
      </c>
      <c r="U27" s="1" t="s">
        <v>18</v>
      </c>
      <c r="W27" s="71">
        <f t="shared" si="16"/>
        <v>441</v>
      </c>
      <c r="X27" s="71">
        <f>IF(OR(COUNTBLANK(AA27)=1,ISERROR(AA27)),"",COUNT(AA4:AA27))</f>
        <v>24</v>
      </c>
      <c r="Y27" s="7" t="str">
        <f t="shared" si="0"/>
        <v>ナビ・</v>
      </c>
      <c r="Z27" s="1" t="str">
        <f t="shared" si="17"/>
        <v/>
      </c>
      <c r="AA27" s="79">
        <f>IF(IF(COUNTIF(AA4:AA26,AA26)&gt;=MAX(D4:D8),AA26+1,AA26)&gt;50,"",IF(COUNTIF(AA4:AA26,AA26)&gt;=MAX(D4:D8),AA26+1,AA26))</f>
        <v>44</v>
      </c>
      <c r="AB27" s="1" t="str">
        <f>IF(AA27="","",VLOOKUP(AA27,S4:U53,3,0))</f>
        <v>p.48～p.49</v>
      </c>
      <c r="AC27" s="8" t="str">
        <f t="shared" si="1"/>
        <v/>
      </c>
      <c r="AE27" s="71">
        <f t="shared" si="2"/>
        <v>441</v>
      </c>
      <c r="AF27" s="71">
        <f>IF(OR(COUNTBLANK(AI27)=1,ISERROR(AI27)),"",COUNT(AI4:AI27))</f>
        <v>24</v>
      </c>
      <c r="AG27" s="7" t="str">
        <f t="shared" si="3"/>
        <v>ナビ・</v>
      </c>
      <c r="AH27" s="1" t="str">
        <f>IF(ISERROR(INDEX(C4:C8,MATCH(G27,D4:D8,0))),"",INDEX(C4:C8,MATCH(G27,D4:D8,0)))</f>
        <v/>
      </c>
      <c r="AI27" s="79">
        <f>IF(IF(COUNTIF(AI4:AI25,AI25)&gt;=MAX(D4:D8),AI25+2,AI25)&gt;50,"",IF(COUNTIF(AI4:AI25,AI25)&gt;=MAX(D4:D8),AI25+2,AI25))</f>
        <v>44</v>
      </c>
      <c r="AJ27" s="1" t="str">
        <f>IF(AI27="","",VLOOKUP(AI27,S4:U53,3,0))</f>
        <v>p.48～p.49</v>
      </c>
      <c r="AK27" s="8" t="str">
        <f t="shared" si="4"/>
        <v/>
      </c>
      <c r="AM27" s="71">
        <f t="shared" si="5"/>
        <v>441</v>
      </c>
      <c r="AN27" s="71">
        <f>IF(OR(COUNTBLANK(AQ27)=1,ISERROR(AQ27)),"",COUNT(AQ4:AQ27))</f>
        <v>24</v>
      </c>
      <c r="AO27" s="7" t="str">
        <f t="shared" si="6"/>
        <v>ナビ・</v>
      </c>
      <c r="AP27" s="1" t="str">
        <f>IF(ISERROR(INDEX(C4:C8,MATCH(H27,D4:D8,0))),"",INDEX(C4:C8,MATCH(H27,D4:D8,0)))</f>
        <v/>
      </c>
      <c r="AQ27" s="79">
        <f>IF(IF(COUNTIF(AQ4:AQ26,AQ24)&gt;=MAX(D4:D8),AQ24+3,AQ24)&gt;50,"",IF(COUNTIF(AQ4:AQ26,AQ24)&gt;=MAX(D4:D8),AQ24+3,AQ24))</f>
        <v>44</v>
      </c>
      <c r="AR27" s="1" t="str">
        <f>IF(AQ27="","",VLOOKUP(AQ27,S4:U53,3,0))</f>
        <v>p.48～p.49</v>
      </c>
      <c r="AS27" s="8" t="str">
        <f t="shared" si="7"/>
        <v/>
      </c>
      <c r="AU27" s="71">
        <f t="shared" si="8"/>
        <v>441</v>
      </c>
      <c r="AV27" s="71">
        <f>IF(OR(COUNTBLANK(AY27)=1,ISERROR(AY27)),"",COUNT(AY4:AY27))</f>
        <v>24</v>
      </c>
      <c r="AW27" s="7" t="str">
        <f t="shared" si="9"/>
        <v>ナビ・</v>
      </c>
      <c r="AX27" s="1" t="str">
        <f>IF(ISERROR(INDEX(C4:C8,MATCH(I27,D4:D8,0))),"",INDEX(C4:C8,MATCH(I27,D4:D8,0)))</f>
        <v/>
      </c>
      <c r="AY27" s="79">
        <f>IF(IF(COUNTIF(AY4:AY26,AY23)&gt;=MAX(D4:D8),AY23+4,AY23)&gt;50,"",IF(COUNTIF(AY4:AY26,AY23)&gt;=MAX(D4:D8),AY23+4,AY23))</f>
        <v>44</v>
      </c>
      <c r="AZ27" s="76" t="str">
        <f>IF(AY27="","",VLOOKUP(AY27,S4:U53,3,0))</f>
        <v>p.48～p.49</v>
      </c>
      <c r="BA27" s="8" t="str">
        <f t="shared" si="10"/>
        <v/>
      </c>
      <c r="BC27" s="71">
        <f t="shared" si="11"/>
        <v>441</v>
      </c>
      <c r="BD27" s="71">
        <f>IF(OR(COUNTBLANK(BG27)=1,ISERROR(BG27)),"",COUNT(BG4:BG27))</f>
        <v>24</v>
      </c>
      <c r="BE27" s="7" t="str">
        <f t="shared" si="12"/>
        <v>ナビ・</v>
      </c>
      <c r="BF27" s="74" t="str">
        <f>IF(ISERROR(INDEX(C4:C8,MATCH(J27,D4:D8,0))),"",INDEX(C4:C8,MATCH(J27,D4:D8,0)))</f>
        <v/>
      </c>
      <c r="BG27" s="79">
        <f>IF(IF(COUNTIF(BG4:BG26,BG22)&gt;=MAX(D4:D8),BG22+5,BG22)&gt;50,"",IF(COUNTIF(BG4:BG26,BG22)&gt;=MAX(D4:D8),BG22+5,BG22))</f>
        <v>44</v>
      </c>
      <c r="BH27" s="76" t="str">
        <f>IF(BG27="","",VLOOKUP(BG27,S4:U53,3,0))</f>
        <v>p.48～p.49</v>
      </c>
      <c r="BI27" s="8" t="str">
        <f t="shared" si="13"/>
        <v/>
      </c>
      <c r="BL27" s="113">
        <v>24</v>
      </c>
      <c r="BM27" s="114">
        <v>20</v>
      </c>
      <c r="BN27" s="114" t="s">
        <v>144</v>
      </c>
      <c r="BP27" s="71">
        <f>IF(BT27="","",BT27*10+4)</f>
        <v>444</v>
      </c>
      <c r="BQ27" s="71">
        <f>IF(OR(COUNTBLANK(BT27)=1,ISERROR(BT27)),"",COUNT(BT4:BT27))</f>
        <v>24</v>
      </c>
      <c r="BR27" s="7" t="str">
        <f t="shared" si="18"/>
        <v>ナビ・</v>
      </c>
      <c r="BS27" s="1" t="str">
        <f t="shared" si="19"/>
        <v/>
      </c>
      <c r="BT27" s="79">
        <f>IF(IF(COUNTIF($BT$4:BT26,BT26)&gt;=MAX($D$4:$D$8),BT26+1,BT26)&gt;55,"",IF(COUNTIF($BT$4:BT26,BT26)&gt;=MAX($D$4:$D$8),BT26+1,BT26))</f>
        <v>44</v>
      </c>
      <c r="BU27" s="1" t="str">
        <f t="shared" si="20"/>
        <v>p.38～p.39</v>
      </c>
      <c r="BV27" s="8" t="str">
        <f t="shared" si="21"/>
        <v/>
      </c>
      <c r="BX27" s="71">
        <f t="shared" si="22"/>
        <v>441</v>
      </c>
      <c r="BY27" s="71">
        <f>IF(OR(COUNTBLANK(CB27)=1,ISERROR(CB27)),"",COUNT($CB$4:CB27))</f>
        <v>24</v>
      </c>
      <c r="BZ27" s="7" t="str">
        <f t="shared" si="23"/>
        <v>ナビ・</v>
      </c>
      <c r="CA27" s="1" t="str">
        <f t="shared" si="24"/>
        <v/>
      </c>
      <c r="CB27" s="79">
        <f>IF(IF(COUNTIF($CB$4:CB26,CB25)&gt;=MAX($D$4:$D$8),CB25+2,CB25)&gt;55,"",IF(COUNTIF($CB$4:CB26,CB25)&gt;=MAX($D$4:$D$8),CB25+2,CB25))</f>
        <v>44</v>
      </c>
      <c r="CC27" s="1" t="str">
        <f t="shared" si="25"/>
        <v>p.38～p.39</v>
      </c>
      <c r="CD27" s="8" t="str">
        <f t="shared" si="26"/>
        <v/>
      </c>
      <c r="CF27" s="71">
        <f t="shared" si="61"/>
        <v>441</v>
      </c>
      <c r="CG27" s="71">
        <f>IF(OR(COUNTBLANK(CJ27)=1,ISERROR(CJ27)),"",COUNT($CJ$4:CJ27))</f>
        <v>24</v>
      </c>
      <c r="CH27" s="7" t="str">
        <f t="shared" si="62"/>
        <v>ナビ・</v>
      </c>
      <c r="CI27" s="1" t="str">
        <f t="shared" si="63"/>
        <v/>
      </c>
      <c r="CJ27" s="79">
        <f>IF(IF(COUNTIF($CJ$4:CJ26,CJ24)&gt;=MAX($D$4:$D$8),CJ24+3,CJ24)&gt;55,"",IF(COUNTIF($CJ$4:CJ26,CJ24)&gt;=MAX($D$4:$D$8),CJ24+3,CJ24))</f>
        <v>44</v>
      </c>
      <c r="CK27" s="1" t="str">
        <f t="shared" si="30"/>
        <v>p.38～p.39</v>
      </c>
      <c r="CL27" s="8" t="str">
        <f t="shared" si="64"/>
        <v/>
      </c>
      <c r="CN27" s="71">
        <f t="shared" si="51"/>
        <v>441</v>
      </c>
      <c r="CO27" s="71">
        <f>IF(OR(COUNTBLANK(CR27)=1,ISERROR(CR27)),"",COUNT($CR$4:CR27))</f>
        <v>24</v>
      </c>
      <c r="CP27" s="7" t="str">
        <f t="shared" si="52"/>
        <v>ナビ・</v>
      </c>
      <c r="CQ27" s="1" t="str">
        <f t="shared" si="53"/>
        <v/>
      </c>
      <c r="CR27" s="79">
        <f>IF(IF(COUNTIF($CR$4:CR26,CR23)&gt;=MAX($D$4:$D$8),CR23+4,CR23)&gt;55,"",IF(COUNTIF($CR$4:CR26,CR23)&gt;=MAX($D$4:$D$8),CR23+4,CR23))</f>
        <v>44</v>
      </c>
      <c r="CS27" s="1" t="str">
        <f t="shared" si="35"/>
        <v>p.38～p.39</v>
      </c>
      <c r="CT27" s="8" t="str">
        <f t="shared" si="54"/>
        <v/>
      </c>
      <c r="CV27" s="71">
        <f t="shared" si="65"/>
        <v>441</v>
      </c>
      <c r="CW27" s="71">
        <f>IF(OR(COUNTBLANK(CZ27)=1,ISERROR(CZ27)),"",COUNT($CZ$4:CZ27))</f>
        <v>24</v>
      </c>
      <c r="CX27" s="7" t="str">
        <f t="shared" si="66"/>
        <v>ナビ・</v>
      </c>
      <c r="CY27" s="1" t="str">
        <f t="shared" si="67"/>
        <v/>
      </c>
      <c r="CZ27" s="79">
        <f>IF(IF(COUNTIF($CZ$4:CZ26,CZ22)&gt;=MAX($D$4:$D$8),CZ22+5,CZ22)&gt;55,"",IF(COUNTIF($CZ$4:CZ26,CZ22)&gt;=MAX($D$4:$D$8),CZ22+5,CZ22))</f>
        <v>44</v>
      </c>
      <c r="DA27" s="1" t="str">
        <f t="shared" si="40"/>
        <v>p.38～p.39</v>
      </c>
      <c r="DB27" s="8" t="str">
        <f t="shared" si="68"/>
        <v/>
      </c>
    </row>
    <row r="28" spans="1:106" x14ac:dyDescent="0.15">
      <c r="A28" s="121" t="s">
        <v>154</v>
      </c>
      <c r="B28" s="122">
        <f>設定入力!C30</f>
        <v>0</v>
      </c>
      <c r="C28" s="122" t="e">
        <f>INDEX($BL$4:$BL$28,MATCH(設定入力!C32,$BM$4:$BM$28))</f>
        <v>#N/A</v>
      </c>
      <c r="E28" s="1">
        <v>25</v>
      </c>
      <c r="F28" s="1">
        <f t="shared" si="42"/>
        <v>1</v>
      </c>
      <c r="G28" s="1">
        <f t="shared" si="60"/>
        <v>1</v>
      </c>
      <c r="H28" s="1">
        <f t="shared" si="45"/>
        <v>1</v>
      </c>
      <c r="I28" s="1">
        <f t="shared" si="50"/>
        <v>1</v>
      </c>
      <c r="J28" s="1">
        <f t="shared" si="55"/>
        <v>1</v>
      </c>
      <c r="L28" s="1" t="str">
        <f>IF(ISERROR(HLOOKUP($C$10,$F$3:$J$253,26,0)),"",HLOOKUP($C$10,$F$3:$J$253,26,0))</f>
        <v/>
      </c>
      <c r="M28" s="81" t="str">
        <f>IF(設定入力!E29="","",設定入力!E29)</f>
        <v/>
      </c>
      <c r="O28" s="6" t="str">
        <f>IF(設定入力!$E$1=2,IF(OR(M28=0,M28="",COUNT($M$1)=0),"",IF($M$1+SUM($M$4:M27)&gt;$Q$1,"",$M$1+SUM($M$4:M27))),IF(OR(M28=0,M28="",COUNT($M$2)=0),"",IF($M$2+SUM($M$4:M27)&gt;$Q$1,"",$M$2+SUM($M$4:M27))))</f>
        <v/>
      </c>
      <c r="P28" s="4" t="str">
        <f t="shared" si="14"/>
        <v/>
      </c>
      <c r="Q28" s="4" t="str">
        <f t="shared" si="15"/>
        <v/>
      </c>
      <c r="S28" s="9">
        <v>25</v>
      </c>
      <c r="T28" s="1">
        <v>5</v>
      </c>
      <c r="U28" s="1" t="s">
        <v>19</v>
      </c>
      <c r="W28" s="71">
        <f t="shared" si="16"/>
        <v>451</v>
      </c>
      <c r="X28" s="71">
        <f>IF(OR(COUNTBLANK(AA28)=1,ISERROR(AA28)),"",COUNT(AA4:AA28))</f>
        <v>25</v>
      </c>
      <c r="Y28" s="7" t="str">
        <f t="shared" si="0"/>
        <v>ナビ・</v>
      </c>
      <c r="Z28" s="1" t="str">
        <f t="shared" si="17"/>
        <v/>
      </c>
      <c r="AA28" s="79">
        <f>IF(IF(COUNTIF(AA4:AA27,AA27)&gt;=MAX(D4:D8),AA27+1,AA27)&gt;50,"",IF(COUNTIF(AA4:AA27,AA27)&gt;=MAX(D4:D8),AA27+1,AA27))</f>
        <v>45</v>
      </c>
      <c r="AB28" s="1" t="str">
        <f>IF(AA28="","",VLOOKUP(AA28,S4:U53,3,0))</f>
        <v>p.50～p.51</v>
      </c>
      <c r="AC28" s="8" t="str">
        <f t="shared" si="1"/>
        <v/>
      </c>
      <c r="AE28" s="71">
        <f t="shared" si="2"/>
        <v>451</v>
      </c>
      <c r="AF28" s="71">
        <f>IF(OR(COUNTBLANK(AI28)=1,ISERROR(AI28)),"",COUNT(AI4:AI28))</f>
        <v>25</v>
      </c>
      <c r="AG28" s="7" t="str">
        <f t="shared" si="3"/>
        <v>ナビ・</v>
      </c>
      <c r="AH28" s="1" t="str">
        <f>IF(ISERROR(INDEX(C4:C8,MATCH(G28,D4:D8,0))),"",INDEX(C4:C8,MATCH(G28,D4:D8,0)))</f>
        <v/>
      </c>
      <c r="AI28" s="79">
        <f>IF(IF(COUNTIF(AI4:AI27,AI26)&gt;=MAX(D4:D8),AI26+2,AI26)&gt;50,"",IF(COUNTIF(AI4:AI27,AI26)&gt;=MAX(D4:D8),AI26+2,AI26))</f>
        <v>45</v>
      </c>
      <c r="AJ28" s="1" t="str">
        <f>IF(AI28="","",VLOOKUP(AI28,S4:U53,3,0))</f>
        <v>p.50～p.51</v>
      </c>
      <c r="AK28" s="8" t="str">
        <f t="shared" si="4"/>
        <v/>
      </c>
      <c r="AM28" s="71">
        <f t="shared" si="5"/>
        <v>451</v>
      </c>
      <c r="AN28" s="71">
        <f>IF(OR(COUNTBLANK(AQ28)=1,ISERROR(AQ28)),"",COUNT(AQ4:AQ28))</f>
        <v>25</v>
      </c>
      <c r="AO28" s="7" t="str">
        <f t="shared" si="6"/>
        <v>ナビ・</v>
      </c>
      <c r="AP28" s="1" t="str">
        <f>IF(ISERROR(INDEX(C4:C8,MATCH(H28,D4:D8,0))),"",INDEX(C4:C8,MATCH(H28,D4:D8,0)))</f>
        <v/>
      </c>
      <c r="AQ28" s="79">
        <f>IF(IF(COUNTIF(AQ4:AQ27,AQ25)&gt;=MAX(D4:D8),AQ25+3,AQ25)&gt;50,"",IF(COUNTIF(AQ4:AQ27,AQ25)&gt;=MAX(D4:D8),AQ25+3,AQ25))</f>
        <v>45</v>
      </c>
      <c r="AR28" s="1" t="str">
        <f>IF(AQ28="","",VLOOKUP(AQ28,S4:U53,3,0))</f>
        <v>p.50～p.51</v>
      </c>
      <c r="AS28" s="8" t="str">
        <f t="shared" si="7"/>
        <v/>
      </c>
      <c r="AU28" s="71">
        <f t="shared" si="8"/>
        <v>451</v>
      </c>
      <c r="AV28" s="71">
        <f>IF(OR(COUNTBLANK(AY28)=1,ISERROR(AY28)),"",COUNT(AY4:AY28))</f>
        <v>25</v>
      </c>
      <c r="AW28" s="7" t="str">
        <f t="shared" si="9"/>
        <v>ナビ・</v>
      </c>
      <c r="AX28" s="1" t="str">
        <f>IF(ISERROR(INDEX(C4:C8,MATCH(I28,D4:D8,0))),"",INDEX(C4:C8,MATCH(I28,D4:D8,0)))</f>
        <v/>
      </c>
      <c r="AY28" s="79">
        <f>IF(IF(COUNTIF(AY4:AY27,AY24)&gt;=MAX(D4:D8),AY24+4,AY24)&gt;50,"",IF(COUNTIF(AY4:AY27,AY24)&gt;=MAX(D4:D8),AY24+4,AY24))</f>
        <v>45</v>
      </c>
      <c r="AZ28" s="76" t="str">
        <f>IF(AY28="","",VLOOKUP(AY28,S4:U53,3,0))</f>
        <v>p.50～p.51</v>
      </c>
      <c r="BA28" s="8" t="str">
        <f t="shared" si="10"/>
        <v/>
      </c>
      <c r="BC28" s="71">
        <f t="shared" si="11"/>
        <v>451</v>
      </c>
      <c r="BD28" s="71">
        <f>IF(OR(COUNTBLANK(BG28)=1,ISERROR(BG28)),"",COUNT(BG4:BG28))</f>
        <v>25</v>
      </c>
      <c r="BE28" s="7" t="str">
        <f t="shared" si="12"/>
        <v>ナビ・</v>
      </c>
      <c r="BF28" s="74" t="str">
        <f>IF(ISERROR(INDEX(C4:C8,MATCH(J28,D4:D8,0))),"",INDEX(C4:C8,MATCH(J28,D4:D8,0)))</f>
        <v/>
      </c>
      <c r="BG28" s="79">
        <f>IF(IF(COUNTIF(BG4:BG27,BG23)&gt;=MAX(D4:D8),BG23+5,BG23)&gt;50,"",IF(COUNTIF(BG4:BG27,BG23)&gt;=MAX(D4:D8),BG23+5,BG23))</f>
        <v>45</v>
      </c>
      <c r="BH28" s="76" t="str">
        <f>IF(BG28="","",VLOOKUP(BG28,S4:U53,3,0))</f>
        <v>p.50～p.51</v>
      </c>
      <c r="BI28" s="8" t="str">
        <f t="shared" si="13"/>
        <v/>
      </c>
      <c r="BL28" s="113">
        <v>25</v>
      </c>
      <c r="BM28" s="114" t="s">
        <v>120</v>
      </c>
      <c r="BN28" s="114" t="s">
        <v>145</v>
      </c>
      <c r="BP28" s="71">
        <f>IF(BT28="","",BT28*10+5)</f>
        <v>455</v>
      </c>
      <c r="BQ28" s="71">
        <f>IF(OR(COUNTBLANK(BT28)=1,ISERROR(BT28)),"",COUNT(BT4:BT28))</f>
        <v>25</v>
      </c>
      <c r="BR28" s="7" t="str">
        <f t="shared" si="18"/>
        <v>ナビ・</v>
      </c>
      <c r="BS28" s="1" t="str">
        <f t="shared" si="19"/>
        <v/>
      </c>
      <c r="BT28" s="79">
        <f>IF(IF(COUNTIF($BT$4:BT27,BT27)&gt;=MAX($D$4:$D$8),BT27+1,BT27)&gt;55,"",IF(COUNTIF($BT$4:BT27,BT27)&gt;=MAX($D$4:$D$8),BT27+1,BT27))</f>
        <v>45</v>
      </c>
      <c r="BU28" s="1" t="str">
        <f t="shared" si="20"/>
        <v>p.40～p.41</v>
      </c>
      <c r="BV28" s="8" t="str">
        <f t="shared" si="21"/>
        <v/>
      </c>
      <c r="BX28" s="71">
        <f t="shared" si="22"/>
        <v>451</v>
      </c>
      <c r="BY28" s="71">
        <f>IF(OR(COUNTBLANK(CB28)=1,ISERROR(CB28)),"",COUNT($CB$4:CB28))</f>
        <v>25</v>
      </c>
      <c r="BZ28" s="7" t="str">
        <f t="shared" si="23"/>
        <v>ナビ・</v>
      </c>
      <c r="CA28" s="1" t="str">
        <f t="shared" si="24"/>
        <v/>
      </c>
      <c r="CB28" s="79">
        <f>IF(IF(COUNTIF($CB$4:CB27,CB26)&gt;=MAX($D$4:$D$8),CB26+2,CB26)&gt;55,"",IF(COUNTIF($CB$4:CB27,CB26)&gt;=MAX($D$4:$D$8),CB26+2,CB26))</f>
        <v>45</v>
      </c>
      <c r="CC28" s="1" t="str">
        <f t="shared" si="25"/>
        <v>p.40～p.41</v>
      </c>
      <c r="CD28" s="8" t="str">
        <f t="shared" si="26"/>
        <v/>
      </c>
      <c r="CF28" s="71">
        <f t="shared" si="61"/>
        <v>451</v>
      </c>
      <c r="CG28" s="71">
        <f>IF(OR(COUNTBLANK(CJ28)=1,ISERROR(CJ28)),"",COUNT($CJ$4:CJ28))</f>
        <v>25</v>
      </c>
      <c r="CH28" s="7" t="str">
        <f t="shared" si="62"/>
        <v>ナビ・</v>
      </c>
      <c r="CI28" s="1" t="str">
        <f t="shared" si="63"/>
        <v/>
      </c>
      <c r="CJ28" s="79">
        <f>IF(IF(COUNTIF($CJ$4:CJ27,CJ25)&gt;=MAX($D$4:$D$8),CJ25+3,CJ25)&gt;55,"",IF(COUNTIF($CJ$4:CJ27,CJ25)&gt;=MAX($D$4:$D$8),CJ25+3,CJ25))</f>
        <v>45</v>
      </c>
      <c r="CK28" s="1" t="str">
        <f t="shared" si="30"/>
        <v>p.40～p.41</v>
      </c>
      <c r="CL28" s="8" t="str">
        <f t="shared" si="64"/>
        <v/>
      </c>
      <c r="CN28" s="71">
        <f t="shared" si="51"/>
        <v>451</v>
      </c>
      <c r="CO28" s="71">
        <f>IF(OR(COUNTBLANK(CR28)=1,ISERROR(CR28)),"",COUNT($CR$4:CR28))</f>
        <v>25</v>
      </c>
      <c r="CP28" s="7" t="str">
        <f t="shared" si="52"/>
        <v>ナビ・</v>
      </c>
      <c r="CQ28" s="1" t="str">
        <f t="shared" si="53"/>
        <v/>
      </c>
      <c r="CR28" s="79">
        <f>IF(IF(COUNTIF($CR$4:CR27,CR24)&gt;=MAX($D$4:$D$8),CR24+4,CR24)&gt;55,"",IF(COUNTIF($CR$4:CR27,CR24)&gt;=MAX($D$4:$D$8),CR24+4,CR24))</f>
        <v>45</v>
      </c>
      <c r="CS28" s="1" t="str">
        <f t="shared" si="35"/>
        <v>p.40～p.41</v>
      </c>
      <c r="CT28" s="8" t="str">
        <f t="shared" si="54"/>
        <v/>
      </c>
      <c r="CV28" s="71">
        <f t="shared" si="65"/>
        <v>451</v>
      </c>
      <c r="CW28" s="71">
        <f>IF(OR(COUNTBLANK(CZ28)=1,ISERROR(CZ28)),"",COUNT($CZ$4:CZ28))</f>
        <v>25</v>
      </c>
      <c r="CX28" s="7" t="str">
        <f t="shared" si="66"/>
        <v>ナビ・</v>
      </c>
      <c r="CY28" s="1" t="str">
        <f t="shared" si="67"/>
        <v/>
      </c>
      <c r="CZ28" s="79">
        <f>IF(IF(COUNTIF($CZ$4:CZ27,CZ23)&gt;=MAX($D$4:$D$8),CZ23+5,CZ23)&gt;55,"",IF(COUNTIF($CZ$4:CZ27,CZ23)&gt;=MAX($D$4:$D$8),CZ23+5,CZ23))</f>
        <v>45</v>
      </c>
      <c r="DA28" s="1" t="str">
        <f t="shared" si="40"/>
        <v>p.40～p.41</v>
      </c>
      <c r="DB28" s="8" t="str">
        <f t="shared" si="68"/>
        <v/>
      </c>
    </row>
    <row r="29" spans="1:106" x14ac:dyDescent="0.15">
      <c r="E29" s="1">
        <v>26</v>
      </c>
      <c r="F29" s="1">
        <f t="shared" si="42"/>
        <v>1</v>
      </c>
      <c r="G29" s="1">
        <f t="shared" si="60"/>
        <v>1</v>
      </c>
      <c r="H29" s="1">
        <f t="shared" si="45"/>
        <v>1</v>
      </c>
      <c r="I29" s="1">
        <f t="shared" si="50"/>
        <v>1</v>
      </c>
      <c r="J29" s="1">
        <f t="shared" si="55"/>
        <v>1</v>
      </c>
      <c r="L29" s="1" t="str">
        <f>IF(ISERROR(HLOOKUP($C$10,$F$3:$J$253,27,0)),"",HLOOKUP($C$10,$F$3:$J$253,27,0))</f>
        <v/>
      </c>
      <c r="M29" s="81" t="str">
        <f>IF(設定入力!E30="","",設定入力!E30)</f>
        <v/>
      </c>
      <c r="O29" s="6" t="str">
        <f>IF(設定入力!$E$1=2,IF(OR(M29=0,M29="",COUNT($M$1)=0),"",IF($M$1+SUM($M$4:M28)&gt;$Q$1,"",$M$1+SUM($M$4:M28))),IF(OR(M29=0,M29="",COUNT($M$2)=0),"",IF($M$2+SUM($M$4:M28)&gt;$Q$1,"",$M$2+SUM($M$4:M28))))</f>
        <v/>
      </c>
      <c r="P29" s="4" t="str">
        <f t="shared" si="14"/>
        <v/>
      </c>
      <c r="Q29" s="4" t="str">
        <f t="shared" si="15"/>
        <v/>
      </c>
      <c r="S29" s="9">
        <v>26</v>
      </c>
      <c r="T29" s="1">
        <v>6</v>
      </c>
      <c r="U29" s="1" t="s">
        <v>20</v>
      </c>
      <c r="W29" s="71">
        <f t="shared" si="16"/>
        <v>461</v>
      </c>
      <c r="X29" s="71">
        <f>IF(OR(COUNTBLANK(AA29)=1,ISERROR(AA29)),"",COUNT(AA4:AA29))</f>
        <v>26</v>
      </c>
      <c r="Y29" s="7" t="str">
        <f t="shared" si="0"/>
        <v>ナビ・</v>
      </c>
      <c r="Z29" s="1" t="str">
        <f t="shared" si="17"/>
        <v/>
      </c>
      <c r="AA29" s="79">
        <f>IF(IF(COUNTIF(AA4:AA28,AA28)&gt;=MAX(D4:D8),AA28+1,AA28)&gt;50,"",IF(COUNTIF(AA4:AA28,AA28)&gt;=MAX(D4:D8),AA28+1,AA28))</f>
        <v>46</v>
      </c>
      <c r="AB29" s="1" t="str">
        <f>IF(AA29="","",VLOOKUP(AA29,S4:U53,3,0))</f>
        <v>p.52～p.53</v>
      </c>
      <c r="AC29" s="8" t="str">
        <f t="shared" si="1"/>
        <v/>
      </c>
      <c r="AE29" s="71">
        <f t="shared" si="2"/>
        <v>461</v>
      </c>
      <c r="AF29" s="71">
        <f>IF(OR(COUNTBLANK(AI29)=1,ISERROR(AI29)),"",COUNT(AI4:AI29))</f>
        <v>26</v>
      </c>
      <c r="AG29" s="7" t="str">
        <f t="shared" si="3"/>
        <v>ナビ・</v>
      </c>
      <c r="AH29" s="1" t="str">
        <f>IF(ISERROR(INDEX(C4:C8,MATCH(G29,D4:D8,0))),"",INDEX(C4:C8,MATCH(G29,D4:D8,0)))</f>
        <v/>
      </c>
      <c r="AI29" s="79">
        <f>IF(IF(COUNTIF(AI4:AI27,AI27)&gt;=MAX(D4:D8),AI27+2,AI27)&gt;50,"",IF(COUNTIF(AI4:AI27,AI27)&gt;=MAX(D4:D8),AI27+2,AI27))</f>
        <v>46</v>
      </c>
      <c r="AJ29" s="1" t="str">
        <f>IF(AI29="","",VLOOKUP(AI29,S4:U53,3,0))</f>
        <v>p.52～p.53</v>
      </c>
      <c r="AK29" s="8" t="str">
        <f t="shared" si="4"/>
        <v/>
      </c>
      <c r="AM29" s="71">
        <f t="shared" si="5"/>
        <v>461</v>
      </c>
      <c r="AN29" s="71">
        <f>IF(OR(COUNTBLANK(AQ29)=1,ISERROR(AQ29)),"",COUNT(AQ4:AQ29))</f>
        <v>26</v>
      </c>
      <c r="AO29" s="7" t="str">
        <f t="shared" si="6"/>
        <v>ナビ・</v>
      </c>
      <c r="AP29" s="1" t="str">
        <f>IF(ISERROR(INDEX(C4:C8,MATCH(H29,D4:D8,0))),"",INDEX(C4:C8,MATCH(H29,D4:D8,0)))</f>
        <v/>
      </c>
      <c r="AQ29" s="79">
        <f>IF(IF(COUNTIF(AQ4:AQ28,AQ26)&gt;=MAX(D4:D8),AQ26+3,AQ26)&gt;50,"",IF(COUNTIF(AQ4:AQ28,AQ26)&gt;=MAX(D4:D8),AQ26+3,AQ26))</f>
        <v>46</v>
      </c>
      <c r="AR29" s="1" t="str">
        <f>IF(AQ29="","",VLOOKUP(AQ29,S4:U53,3,0))</f>
        <v>p.52～p.53</v>
      </c>
      <c r="AS29" s="8" t="str">
        <f t="shared" si="7"/>
        <v/>
      </c>
      <c r="AU29" s="71">
        <f t="shared" si="8"/>
        <v>461</v>
      </c>
      <c r="AV29" s="71">
        <f>IF(OR(COUNTBLANK(AY29)=1,ISERROR(AY29)),"",COUNT(AY4:AY29))</f>
        <v>26</v>
      </c>
      <c r="AW29" s="7" t="str">
        <f t="shared" si="9"/>
        <v>ナビ・</v>
      </c>
      <c r="AX29" s="1" t="str">
        <f>IF(ISERROR(INDEX(C4:C8,MATCH(I29,D4:D8,0))),"",INDEX(C4:C8,MATCH(I29,D4:D8,0)))</f>
        <v/>
      </c>
      <c r="AY29" s="79">
        <f>IF(IF(COUNTIF(AY4:AY28,AY25)&gt;=MAX(D4:D8),AY25+4,AY25)&gt;50,"",IF(COUNTIF(AY4:AY28,AY25)&gt;=MAX(D4:D8),AY25+4,AY25))</f>
        <v>46</v>
      </c>
      <c r="AZ29" s="76" t="str">
        <f>IF(AY29="","",VLOOKUP(AY29,S4:U53,3,0))</f>
        <v>p.52～p.53</v>
      </c>
      <c r="BA29" s="8" t="str">
        <f t="shared" si="10"/>
        <v/>
      </c>
      <c r="BC29" s="71">
        <f t="shared" si="11"/>
        <v>461</v>
      </c>
      <c r="BD29" s="71">
        <f>IF(OR(COUNTBLANK(BG29)=1,ISERROR(BG29)),"",COUNT(BG4:BG29))</f>
        <v>26</v>
      </c>
      <c r="BE29" s="7" t="str">
        <f t="shared" si="12"/>
        <v>ナビ・</v>
      </c>
      <c r="BF29" s="1" t="str">
        <f>IF(ISERROR(INDEX(C4:C8,MATCH(J29,D4:D8,0))),"",INDEX(C4:C8,MATCH(J29,D4:D8,0)))</f>
        <v/>
      </c>
      <c r="BG29" s="79">
        <f>IF(IF(COUNTIF(BG4:BG28,BG24)&gt;=MAX(D4:D8),BG24+5,BG24)&gt;50,"",IF(COUNTIF(BG4:BG28,BG24)&gt;=MAX(D4:D8),BG24+5,BG24))</f>
        <v>46</v>
      </c>
      <c r="BH29" s="76" t="str">
        <f>IF(BG29="","",VLOOKUP(BG29,S4:U53,3,0))</f>
        <v>p.52～p.53</v>
      </c>
      <c r="BI29" s="8" t="str">
        <f t="shared" si="13"/>
        <v/>
      </c>
      <c r="BL29" s="115">
        <v>26</v>
      </c>
      <c r="BM29" s="112">
        <v>1</v>
      </c>
      <c r="BN29" s="112" t="s">
        <v>15</v>
      </c>
      <c r="BP29" s="71">
        <f>IF(BT29="","",BT29*10+1)</f>
        <v>461</v>
      </c>
      <c r="BQ29" s="71">
        <f>IF(OR(COUNTBLANK(BT29)=1,ISERROR(BT29)),"",COUNT(BT4:BT29))</f>
        <v>26</v>
      </c>
      <c r="BR29" s="7" t="str">
        <f t="shared" si="18"/>
        <v>ナビ・</v>
      </c>
      <c r="BS29" s="1" t="str">
        <f t="shared" si="19"/>
        <v/>
      </c>
      <c r="BT29" s="79">
        <f>IF(IF(COUNTIF($BT$4:BT28,BT28)&gt;=MAX($D$4:$D$8),BT28+1,BT28)&gt;55,"",IF(COUNTIF($BT$4:BT28,BT28)&gt;=MAX($D$4:$D$8),BT28+1,BT28))</f>
        <v>46</v>
      </c>
      <c r="BU29" s="1" t="str">
        <f t="shared" si="20"/>
        <v>p.42～p.43</v>
      </c>
      <c r="BV29" s="8" t="str">
        <f t="shared" si="21"/>
        <v/>
      </c>
      <c r="BX29" s="71">
        <f t="shared" si="22"/>
        <v>461</v>
      </c>
      <c r="BY29" s="71">
        <f>IF(OR(COUNTBLANK(CB29)=1,ISERROR(CB29)),"",COUNT($CB$4:CB29))</f>
        <v>26</v>
      </c>
      <c r="BZ29" s="7" t="str">
        <f t="shared" si="23"/>
        <v>ナビ・</v>
      </c>
      <c r="CA29" s="1" t="str">
        <f t="shared" si="24"/>
        <v/>
      </c>
      <c r="CB29" s="79">
        <f>IF(IF(COUNTIF($CB$4:CB28,CB27)&gt;=MAX($D$4:$D$8),CB27+2,CB27)&gt;55,"",IF(COUNTIF($CB$4:CB28,CB27)&gt;=MAX($D$4:$D$8),CB27+2,CB27))</f>
        <v>46</v>
      </c>
      <c r="CC29" s="1" t="str">
        <f t="shared" si="25"/>
        <v>p.42～p.43</v>
      </c>
      <c r="CD29" s="8" t="str">
        <f t="shared" si="26"/>
        <v/>
      </c>
      <c r="CF29" s="71">
        <f t="shared" si="61"/>
        <v>461</v>
      </c>
      <c r="CG29" s="71">
        <f>IF(OR(COUNTBLANK(CJ29)=1,ISERROR(CJ29)),"",COUNT($CJ$4:CJ29))</f>
        <v>26</v>
      </c>
      <c r="CH29" s="7" t="str">
        <f t="shared" si="62"/>
        <v>ナビ・</v>
      </c>
      <c r="CI29" s="1" t="str">
        <f t="shared" si="63"/>
        <v/>
      </c>
      <c r="CJ29" s="79">
        <f>IF(IF(COUNTIF($CJ$4:CJ28,CJ26)&gt;=MAX($D$4:$D$8),CJ26+3,CJ26)&gt;55,"",IF(COUNTIF($CJ$4:CJ28,CJ26)&gt;=MAX($D$4:$D$8),CJ26+3,CJ26))</f>
        <v>46</v>
      </c>
      <c r="CK29" s="1" t="str">
        <f t="shared" si="30"/>
        <v>p.42～p.43</v>
      </c>
      <c r="CL29" s="8" t="str">
        <f t="shared" si="64"/>
        <v/>
      </c>
      <c r="CN29" s="71">
        <f t="shared" si="51"/>
        <v>461</v>
      </c>
      <c r="CO29" s="71">
        <f>IF(OR(COUNTBLANK(CR29)=1,ISERROR(CR29)),"",COUNT($CR$4:CR29))</f>
        <v>26</v>
      </c>
      <c r="CP29" s="7" t="str">
        <f t="shared" si="52"/>
        <v>ナビ・</v>
      </c>
      <c r="CQ29" s="1" t="str">
        <f t="shared" si="53"/>
        <v/>
      </c>
      <c r="CR29" s="79">
        <f>IF(IF(COUNTIF($CR$4:CR28,CR25)&gt;=MAX($D$4:$D$8),CR25+4,CR25)&gt;55,"",IF(COUNTIF($CR$4:CR28,CR25)&gt;=MAX($D$4:$D$8),CR25+4,CR25))</f>
        <v>46</v>
      </c>
      <c r="CS29" s="1" t="str">
        <f t="shared" si="35"/>
        <v>p.42～p.43</v>
      </c>
      <c r="CT29" s="8" t="str">
        <f t="shared" si="54"/>
        <v/>
      </c>
      <c r="CV29" s="71">
        <f t="shared" si="65"/>
        <v>461</v>
      </c>
      <c r="CW29" s="71">
        <f>IF(OR(COUNTBLANK(CZ29)=1,ISERROR(CZ29)),"",COUNT($CZ$4:CZ29))</f>
        <v>26</v>
      </c>
      <c r="CX29" s="7" t="str">
        <f t="shared" si="66"/>
        <v>ナビ・</v>
      </c>
      <c r="CY29" s="1" t="str">
        <f t="shared" si="67"/>
        <v/>
      </c>
      <c r="CZ29" s="79">
        <f>IF(IF(COUNTIF($CZ$4:CZ28,CZ24)&gt;=MAX($D$4:$D$8),CZ24+5,CZ24)&gt;55,"",IF(COUNTIF($CZ$4:CZ28,CZ24)&gt;=MAX($D$4:$D$8),CZ24+5,CZ24))</f>
        <v>46</v>
      </c>
      <c r="DA29" s="1" t="str">
        <f t="shared" si="40"/>
        <v>p.42～p.43</v>
      </c>
      <c r="DB29" s="8" t="str">
        <f t="shared" si="68"/>
        <v/>
      </c>
    </row>
    <row r="30" spans="1:106" x14ac:dyDescent="0.15">
      <c r="E30" s="1">
        <v>27</v>
      </c>
      <c r="F30" s="1">
        <f t="shared" si="42"/>
        <v>1</v>
      </c>
      <c r="G30" s="1">
        <f t="shared" si="60"/>
        <v>1</v>
      </c>
      <c r="H30" s="1">
        <f t="shared" si="45"/>
        <v>1</v>
      </c>
      <c r="I30" s="1">
        <f t="shared" si="50"/>
        <v>1</v>
      </c>
      <c r="J30" s="1">
        <f t="shared" si="55"/>
        <v>1</v>
      </c>
      <c r="L30" s="1" t="str">
        <f>IF(ISERROR(HLOOKUP($C$10,$F$3:$J$253,28,0)),"",HLOOKUP($C$10,$F$3:$J$253,28,0))</f>
        <v/>
      </c>
      <c r="M30" s="81" t="str">
        <f>IF(設定入力!E31="","",設定入力!E31)</f>
        <v/>
      </c>
      <c r="O30" s="6" t="str">
        <f>IF(設定入力!$E$1=2,IF(OR(M30=0,M30="",COUNT($M$1)=0),"",IF($M$1+SUM($M$4:M29)&gt;$Q$1,"",$M$1+SUM($M$4:M29))),IF(OR(M30=0,M30="",COUNT($M$2)=0),"",IF($M$2+SUM($M$4:M29)&gt;$Q$1,"",$M$2+SUM($M$4:M29))))</f>
        <v/>
      </c>
      <c r="P30" s="4" t="str">
        <f t="shared" si="14"/>
        <v/>
      </c>
      <c r="Q30" s="4" t="str">
        <f t="shared" si="15"/>
        <v/>
      </c>
      <c r="S30" s="9">
        <v>27</v>
      </c>
      <c r="T30" s="1">
        <v>7</v>
      </c>
      <c r="U30" s="1" t="s">
        <v>21</v>
      </c>
      <c r="W30" s="71">
        <f t="shared" si="16"/>
        <v>471</v>
      </c>
      <c r="X30" s="71">
        <f>IF(OR(COUNTBLANK(AA30)=1,ISERROR(AA30)),"",COUNT(AA4:AA30))</f>
        <v>27</v>
      </c>
      <c r="Y30" s="7" t="str">
        <f t="shared" si="0"/>
        <v>ナビ・</v>
      </c>
      <c r="Z30" s="1" t="str">
        <f t="shared" si="17"/>
        <v/>
      </c>
      <c r="AA30" s="79">
        <f>IF(IF(COUNTIF(AA4:AA29,AA29)&gt;=MAX(D4:D8),AA29+1,AA29)&gt;50,"",IF(COUNTIF(AA4:AA29,AA29)&gt;=MAX(D4:D8),AA29+1,AA29))</f>
        <v>47</v>
      </c>
      <c r="AB30" s="1" t="str">
        <f>IF(AA30="","",VLOOKUP(AA30,S4:U53,3,0))</f>
        <v>p.54～p.55</v>
      </c>
      <c r="AC30" s="8" t="str">
        <f t="shared" si="1"/>
        <v/>
      </c>
      <c r="AE30" s="71">
        <f t="shared" si="2"/>
        <v>471</v>
      </c>
      <c r="AF30" s="71">
        <f>IF(OR(COUNTBLANK(AI30)=1,ISERROR(AI30)),"",COUNT(AI4:AI30))</f>
        <v>27</v>
      </c>
      <c r="AG30" s="7" t="str">
        <f t="shared" si="3"/>
        <v>ナビ・</v>
      </c>
      <c r="AH30" s="1" t="str">
        <f>IF(ISERROR(INDEX(C4:C8,MATCH(G30,D4:D8,0))),"",INDEX(C4:C8,MATCH(G30,D4:D8,0)))</f>
        <v/>
      </c>
      <c r="AI30" s="79">
        <f>IF(IF(COUNTIF(AI4:AI29,AI28)&gt;=MAX(D4:D8),AI28+2,AI28)&gt;50,"",IF(COUNTIF(AI4:AI29,AI28)&gt;=MAX(D4:D8),AI28+2,AI28))</f>
        <v>47</v>
      </c>
      <c r="AJ30" s="1" t="str">
        <f>IF(AI30="","",VLOOKUP(AI30,S4:U53,3,0))</f>
        <v>p.54～p.55</v>
      </c>
      <c r="AK30" s="8" t="str">
        <f t="shared" si="4"/>
        <v/>
      </c>
      <c r="AM30" s="71">
        <f t="shared" si="5"/>
        <v>471</v>
      </c>
      <c r="AN30" s="71">
        <f>IF(OR(COUNTBLANK(AQ30)=1,ISERROR(AQ30)),"",COUNT(AQ4:AQ30))</f>
        <v>27</v>
      </c>
      <c r="AO30" s="7" t="str">
        <f t="shared" si="6"/>
        <v>ナビ・</v>
      </c>
      <c r="AP30" s="1" t="str">
        <f>IF(ISERROR(INDEX(C4:C8,MATCH(H30,D4:D8,0))),"",INDEX(C4:C8,MATCH(H30,D4:D8,0)))</f>
        <v/>
      </c>
      <c r="AQ30" s="79">
        <f>IF(IF(COUNTIF(AQ4:AQ29,AQ27)&gt;=MAX(D4:D8),AQ27+3,AQ27)&gt;50,"",IF(COUNTIF(AQ4:AQ29,AQ27)&gt;=MAX(D4:D8),AQ27+3,AQ27))</f>
        <v>47</v>
      </c>
      <c r="AR30" s="1" t="str">
        <f>IF(AQ30="","",VLOOKUP(AQ30,S4:U53,3,0))</f>
        <v>p.54～p.55</v>
      </c>
      <c r="AS30" s="8" t="str">
        <f t="shared" si="7"/>
        <v/>
      </c>
      <c r="AU30" s="71">
        <f t="shared" si="8"/>
        <v>471</v>
      </c>
      <c r="AV30" s="71">
        <f>IF(OR(COUNTBLANK(AY30)=1,ISERROR(AY30)),"",COUNT(AY4:AY30))</f>
        <v>27</v>
      </c>
      <c r="AW30" s="7" t="str">
        <f t="shared" si="9"/>
        <v>ナビ・</v>
      </c>
      <c r="AX30" s="1" t="str">
        <f>IF(ISERROR(INDEX(C4:C8,MATCH(I30,D4:D8,0))),"",INDEX(C4:C8,MATCH(I30,D4:D8,0)))</f>
        <v/>
      </c>
      <c r="AY30" s="79">
        <f>IF(IF(COUNTIF(AY4:AY29,AY26)&gt;=MAX(D4:D8),AY26+4,AY26)&gt;50,"",IF(COUNTIF(AY4:AY29,AY26)&gt;=MAX(D4:D8),AY26+4,AY26))</f>
        <v>47</v>
      </c>
      <c r="AZ30" s="76" t="str">
        <f>IF(AY30="","",VLOOKUP(AY30,S4:U53,3,0))</f>
        <v>p.54～p.55</v>
      </c>
      <c r="BA30" s="8" t="str">
        <f t="shared" si="10"/>
        <v/>
      </c>
      <c r="BC30" s="71">
        <f t="shared" si="11"/>
        <v>471</v>
      </c>
      <c r="BD30" s="71">
        <f>IF(OR(COUNTBLANK(BG30)=1,ISERROR(BG30)),"",COUNT(BG4:BG30))</f>
        <v>27</v>
      </c>
      <c r="BE30" s="7" t="str">
        <f t="shared" si="12"/>
        <v>ナビ・</v>
      </c>
      <c r="BF30" s="1" t="str">
        <f>IF(ISERROR(INDEX(C4:C8,MATCH(J30,D4:D8,0))),"",INDEX(C4:C8,MATCH(J30,D4:D8,0)))</f>
        <v/>
      </c>
      <c r="BG30" s="79">
        <f>IF(IF(COUNTIF(BG4:BG29,BG25)&gt;=MAX(D4:D8),BG25+5,BG25)&gt;50,"",IF(COUNTIF(BG4:BG29,BG25)&gt;=MAX(D4:D8),BG25+5,BG25))</f>
        <v>47</v>
      </c>
      <c r="BH30" s="76" t="str">
        <f>IF(BG30="","",VLOOKUP(BG30,S4:U53,3,0))</f>
        <v>p.54～p.55</v>
      </c>
      <c r="BI30" s="8" t="str">
        <f t="shared" si="13"/>
        <v/>
      </c>
      <c r="BL30" s="115">
        <v>27</v>
      </c>
      <c r="BM30" s="112">
        <v>2</v>
      </c>
      <c r="BN30" s="112" t="s">
        <v>16</v>
      </c>
      <c r="BP30" s="71">
        <f>IF(BT30="","",BT30*10+2)</f>
        <v>472</v>
      </c>
      <c r="BQ30" s="71">
        <f>IF(OR(COUNTBLANK(BT30)=1,ISERROR(BT30)),"",COUNT(BT4:BT30))</f>
        <v>27</v>
      </c>
      <c r="BR30" s="7" t="str">
        <f t="shared" si="18"/>
        <v>ナビ・</v>
      </c>
      <c r="BS30" s="1" t="str">
        <f t="shared" si="19"/>
        <v/>
      </c>
      <c r="BT30" s="79">
        <f>IF(IF(COUNTIF($BT$4:BT29,BT29)&gt;=MAX($D$4:$D$8),BT29+1,BT29)&gt;55,"",IF(COUNTIF($BT$4:BT29,BT29)&gt;=MAX($D$4:$D$8),BT29+1,BT29))</f>
        <v>47</v>
      </c>
      <c r="BU30" s="1" t="str">
        <f t="shared" si="20"/>
        <v>p.44～p.45</v>
      </c>
      <c r="BV30" s="8" t="str">
        <f t="shared" si="21"/>
        <v/>
      </c>
      <c r="BX30" s="71">
        <f t="shared" si="22"/>
        <v>471</v>
      </c>
      <c r="BY30" s="71">
        <f>IF(OR(COUNTBLANK(CB30)=1,ISERROR(CB30)),"",COUNT($CB$4:CB30))</f>
        <v>27</v>
      </c>
      <c r="BZ30" s="7" t="str">
        <f t="shared" si="23"/>
        <v>ナビ・</v>
      </c>
      <c r="CA30" s="1" t="str">
        <f t="shared" si="24"/>
        <v/>
      </c>
      <c r="CB30" s="79">
        <f>IF(IF(COUNTIF($CB$4:CB29,CB28)&gt;=MAX($D$4:$D$8),CB28+2,CB28)&gt;55,"",IF(COUNTIF($CB$4:CB29,CB28)&gt;=MAX($D$4:$D$8),CB28+2,CB28))</f>
        <v>47</v>
      </c>
      <c r="CC30" s="1" t="str">
        <f t="shared" si="25"/>
        <v>p.44～p.45</v>
      </c>
      <c r="CD30" s="8" t="str">
        <f t="shared" si="26"/>
        <v/>
      </c>
      <c r="CF30" s="71">
        <f t="shared" si="61"/>
        <v>471</v>
      </c>
      <c r="CG30" s="71">
        <f>IF(OR(COUNTBLANK(CJ30)=1,ISERROR(CJ30)),"",COUNT($CJ$4:CJ30))</f>
        <v>27</v>
      </c>
      <c r="CH30" s="7" t="str">
        <f t="shared" si="62"/>
        <v>ナビ・</v>
      </c>
      <c r="CI30" s="1" t="str">
        <f t="shared" si="63"/>
        <v/>
      </c>
      <c r="CJ30" s="79">
        <f>IF(IF(COUNTIF($CJ$4:CJ29,CJ27)&gt;=MAX($D$4:$D$8),CJ27+3,CJ27)&gt;55,"",IF(COUNTIF($CJ$4:CJ29,CJ27)&gt;=MAX($D$4:$D$8),CJ27+3,CJ27))</f>
        <v>47</v>
      </c>
      <c r="CK30" s="1" t="str">
        <f t="shared" si="30"/>
        <v>p.44～p.45</v>
      </c>
      <c r="CL30" s="8" t="str">
        <f t="shared" si="64"/>
        <v/>
      </c>
      <c r="CN30" s="71">
        <f t="shared" si="51"/>
        <v>471</v>
      </c>
      <c r="CO30" s="71">
        <f>IF(OR(COUNTBLANK(CR30)=1,ISERROR(CR30)),"",COUNT($CR$4:CR30))</f>
        <v>27</v>
      </c>
      <c r="CP30" s="7" t="str">
        <f t="shared" si="52"/>
        <v>ナビ・</v>
      </c>
      <c r="CQ30" s="1" t="str">
        <f t="shared" si="53"/>
        <v/>
      </c>
      <c r="CR30" s="79">
        <f>IF(IF(COUNTIF($CR$4:CR29,CR26)&gt;=MAX($D$4:$D$8),CR26+4,CR26)&gt;55,"",IF(COUNTIF($CR$4:CR29,CR26)&gt;=MAX($D$4:$D$8),CR26+4,CR26))</f>
        <v>47</v>
      </c>
      <c r="CS30" s="1" t="str">
        <f t="shared" si="35"/>
        <v>p.44～p.45</v>
      </c>
      <c r="CT30" s="8" t="str">
        <f t="shared" si="54"/>
        <v/>
      </c>
      <c r="CV30" s="71">
        <f t="shared" si="65"/>
        <v>471</v>
      </c>
      <c r="CW30" s="71">
        <f>IF(OR(COUNTBLANK(CZ30)=1,ISERROR(CZ30)),"",COUNT($CZ$4:CZ30))</f>
        <v>27</v>
      </c>
      <c r="CX30" s="7" t="str">
        <f t="shared" si="66"/>
        <v>ナビ・</v>
      </c>
      <c r="CY30" s="1" t="str">
        <f t="shared" si="67"/>
        <v/>
      </c>
      <c r="CZ30" s="79">
        <f>IF(IF(COUNTIF($CZ$4:CZ29,CZ25)&gt;=MAX($D$4:$D$8),CZ25+5,CZ25)&gt;55,"",IF(COUNTIF($CZ$4:CZ29,CZ25)&gt;=MAX($D$4:$D$8),CZ25+5,CZ25))</f>
        <v>47</v>
      </c>
      <c r="DA30" s="1" t="str">
        <f t="shared" si="40"/>
        <v>p.44～p.45</v>
      </c>
      <c r="DB30" s="8" t="str">
        <f t="shared" si="68"/>
        <v/>
      </c>
    </row>
    <row r="31" spans="1:106" x14ac:dyDescent="0.15">
      <c r="E31" s="1">
        <v>28</v>
      </c>
      <c r="F31" s="1">
        <f t="shared" si="42"/>
        <v>1</v>
      </c>
      <c r="G31" s="1">
        <f t="shared" si="60"/>
        <v>1</v>
      </c>
      <c r="H31" s="1">
        <f t="shared" si="45"/>
        <v>1</v>
      </c>
      <c r="I31" s="1">
        <f t="shared" si="50"/>
        <v>1</v>
      </c>
      <c r="J31" s="1">
        <f t="shared" si="55"/>
        <v>1</v>
      </c>
      <c r="L31" s="1" t="str">
        <f>IF(ISERROR(HLOOKUP($C$10,$F$3:$J$253,29,0)),"",HLOOKUP($C$10,$F$3:$J$253,29,0))</f>
        <v/>
      </c>
      <c r="M31" s="81" t="str">
        <f>IF(OR(設定入力!E32="",設定入力!G32=""),"",設定入力!E32)</f>
        <v/>
      </c>
      <c r="O31" s="6" t="str">
        <f>IF(設定入力!$E$1=2,IF(OR(M31=0,M31="",COUNT($M$1)=0),"",IF($M$1+SUM($M$4:M30)&gt;$Q$1,"",$M$1+SUM($M$4:M30))),IF(OR(M31=0,M31="",COUNT($M$2)=0),"",IF($M$2+SUM($M$4:M30)&gt;$Q$1,"",$M$2+SUM($M$4:M30))))</f>
        <v/>
      </c>
      <c r="P31" s="4" t="str">
        <f t="shared" si="14"/>
        <v/>
      </c>
      <c r="Q31" s="4" t="str">
        <f t="shared" si="15"/>
        <v/>
      </c>
      <c r="S31" s="9">
        <v>28</v>
      </c>
      <c r="T31" s="1">
        <v>8</v>
      </c>
      <c r="U31" s="1" t="s">
        <v>22</v>
      </c>
      <c r="W31" s="71">
        <f t="shared" si="16"/>
        <v>481</v>
      </c>
      <c r="X31" s="71">
        <f>IF(OR(COUNTBLANK(AA31)=1,ISERROR(AA31)),"",COUNT(AA4:AA31))</f>
        <v>28</v>
      </c>
      <c r="Y31" s="7" t="str">
        <f t="shared" si="0"/>
        <v>ナビ・</v>
      </c>
      <c r="Z31" s="1" t="str">
        <f t="shared" si="17"/>
        <v/>
      </c>
      <c r="AA31" s="79">
        <f>IF(IF(COUNTIF(AA4:AA30,AA30)&gt;=MAX(D4:D8),AA30+1,AA30)&gt;50,"",IF(COUNTIF(AA4:AA30,AA30)&gt;=MAX(D4:D8),AA30+1,AA30))</f>
        <v>48</v>
      </c>
      <c r="AB31" s="1" t="str">
        <f>IF(AA31="","",VLOOKUP(AA31,S4:U53,3,0))</f>
        <v>p.56～p.57</v>
      </c>
      <c r="AC31" s="8" t="str">
        <f t="shared" si="1"/>
        <v/>
      </c>
      <c r="AE31" s="71">
        <f t="shared" si="2"/>
        <v>481</v>
      </c>
      <c r="AF31" s="71">
        <f>IF(OR(COUNTBLANK(AI31)=1,ISERROR(AI31)),"",COUNT(AI4:AI31))</f>
        <v>28</v>
      </c>
      <c r="AG31" s="7" t="str">
        <f t="shared" si="3"/>
        <v>ナビ・</v>
      </c>
      <c r="AH31" s="1" t="str">
        <f>IF(ISERROR(INDEX(C4:C8,MATCH(G31,D4:D8,0))),"",INDEX(C4:C8,MATCH(G31,D4:D8,0)))</f>
        <v/>
      </c>
      <c r="AI31" s="79">
        <f>IF(IF(COUNTIF(AI4:AI29,AI29)&gt;=MAX(D4:D8),AI29+2,AI29)&gt;50,"",IF(COUNTIF(AI4:AI29,AI29)&gt;=MAX(D4:D8),AI29+2,AI29))</f>
        <v>48</v>
      </c>
      <c r="AJ31" s="1" t="str">
        <f>IF(AI31="","",VLOOKUP(AI31,S4:U53,3,0))</f>
        <v>p.56～p.57</v>
      </c>
      <c r="AK31" s="8" t="str">
        <f t="shared" si="4"/>
        <v/>
      </c>
      <c r="AM31" s="71">
        <f t="shared" si="5"/>
        <v>481</v>
      </c>
      <c r="AN31" s="71">
        <f>IF(OR(COUNTBLANK(AQ31)=1,ISERROR(AQ31)),"",COUNT(AQ4:AQ31))</f>
        <v>28</v>
      </c>
      <c r="AO31" s="7" t="str">
        <f t="shared" si="6"/>
        <v>ナビ・</v>
      </c>
      <c r="AP31" s="1" t="str">
        <f>IF(ISERROR(INDEX(C4:C8,MATCH(H31,D4:D8,0))),"",INDEX(C4:C8,MATCH(H31,D4:D8,0)))</f>
        <v/>
      </c>
      <c r="AQ31" s="79">
        <f>IF(IF(COUNTIF(AQ4:AQ30,AQ28)&gt;=MAX(D4:D8),AQ28+3,AQ28)&gt;50,"",IF(COUNTIF(AQ4:AQ30,AQ28)&gt;=MAX(D4:D8),AQ28+3,AQ28))</f>
        <v>48</v>
      </c>
      <c r="AR31" s="1" t="str">
        <f>IF(AQ31="","",VLOOKUP(AQ31,S4:U53,3,0))</f>
        <v>p.56～p.57</v>
      </c>
      <c r="AS31" s="8" t="str">
        <f t="shared" si="7"/>
        <v/>
      </c>
      <c r="AU31" s="71">
        <f t="shared" si="8"/>
        <v>481</v>
      </c>
      <c r="AV31" s="71">
        <f>IF(OR(COUNTBLANK(AY31)=1,ISERROR(AY31)),"",COUNT(AY4:AY31))</f>
        <v>28</v>
      </c>
      <c r="AW31" s="7" t="str">
        <f t="shared" si="9"/>
        <v>ナビ・</v>
      </c>
      <c r="AX31" s="1" t="str">
        <f>IF(ISERROR(INDEX(C4:C8,MATCH(I31,D4:D8,0))),"",INDEX(C4:C8,MATCH(I31,D4:D8,0)))</f>
        <v/>
      </c>
      <c r="AY31" s="79">
        <f>IF(IF(COUNTIF(AY4:AY30,AY27)&gt;=MAX(D4:D8),AY27+4,AY27)&gt;50,"",IF(COUNTIF(AY4:AY30,AY27)&gt;=MAX(D4:D8),AY27+4,AY27))</f>
        <v>48</v>
      </c>
      <c r="AZ31" s="76" t="str">
        <f>IF(AY31="","",VLOOKUP(AY31,S4:U53,3,0))</f>
        <v>p.56～p.57</v>
      </c>
      <c r="BA31" s="8" t="str">
        <f t="shared" si="10"/>
        <v/>
      </c>
      <c r="BC31" s="71">
        <f t="shared" si="11"/>
        <v>481</v>
      </c>
      <c r="BD31" s="71">
        <f>IF(OR(COUNTBLANK(BG31)=1,ISERROR(BG31)),"",COUNT(BG4:BG31))</f>
        <v>28</v>
      </c>
      <c r="BE31" s="7" t="str">
        <f t="shared" si="12"/>
        <v>ナビ・</v>
      </c>
      <c r="BF31" s="1" t="str">
        <f>IF(ISERROR(INDEX(C4:C8,MATCH(J31,D4:D8,0))),"",INDEX(C4:C8,MATCH(J31,D4:D8,0)))</f>
        <v/>
      </c>
      <c r="BG31" s="79">
        <f>IF(IF(COUNTIF(BG4:BG30,BG26)&gt;=MAX(D4:D8),BG26+5,BG26)&gt;50,"",IF(COUNTIF(BG4:BG30,BG26)&gt;=MAX(D4:D8),BG26+5,BG26))</f>
        <v>48</v>
      </c>
      <c r="BH31" s="76" t="str">
        <f>IF(BG31="","",VLOOKUP(BG31,S4:U53,3,0))</f>
        <v>p.56～p.57</v>
      </c>
      <c r="BI31" s="8" t="str">
        <f t="shared" si="13"/>
        <v/>
      </c>
      <c r="BL31" s="115">
        <v>28</v>
      </c>
      <c r="BM31" s="112">
        <v>3</v>
      </c>
      <c r="BN31" s="112" t="s">
        <v>17</v>
      </c>
      <c r="BP31" s="71">
        <f>IF(BT31="","",BT31*10+3)</f>
        <v>483</v>
      </c>
      <c r="BQ31" s="71">
        <f>IF(OR(COUNTBLANK(BT31)=1,ISERROR(BT31)),"",COUNT(BT4:BT31))</f>
        <v>28</v>
      </c>
      <c r="BR31" s="7" t="str">
        <f t="shared" si="18"/>
        <v>ナビ・</v>
      </c>
      <c r="BS31" s="1" t="str">
        <f t="shared" si="19"/>
        <v/>
      </c>
      <c r="BT31" s="79">
        <f>IF(IF(COUNTIF($BT$4:BT30,BT30)&gt;=MAX($D$4:$D$8),BT30+1,BT30)&gt;55,"",IF(COUNTIF($BT$4:BT30,BT30)&gt;=MAX($D$4:$D$8),BT30+1,BT30))</f>
        <v>48</v>
      </c>
      <c r="BU31" s="1" t="str">
        <f t="shared" si="20"/>
        <v>p.46～p.47</v>
      </c>
      <c r="BV31" s="8" t="str">
        <f t="shared" si="21"/>
        <v/>
      </c>
      <c r="BX31" s="71">
        <f t="shared" si="22"/>
        <v>481</v>
      </c>
      <c r="BY31" s="71">
        <f>IF(OR(COUNTBLANK(CB31)=1,ISERROR(CB31)),"",COUNT($CB$4:CB31))</f>
        <v>28</v>
      </c>
      <c r="BZ31" s="7" t="str">
        <f t="shared" si="23"/>
        <v>ナビ・</v>
      </c>
      <c r="CA31" s="1" t="str">
        <f t="shared" si="24"/>
        <v/>
      </c>
      <c r="CB31" s="79">
        <f>IF(IF(COUNTIF($CB$4:CB30,CB29)&gt;=MAX($D$4:$D$8),CB29+2,CB29)&gt;55,"",IF(COUNTIF($CB$4:CB30,CB29)&gt;=MAX($D$4:$D$8),CB29+2,CB29))</f>
        <v>48</v>
      </c>
      <c r="CC31" s="1" t="str">
        <f t="shared" si="25"/>
        <v>p.46～p.47</v>
      </c>
      <c r="CD31" s="8" t="str">
        <f t="shared" si="26"/>
        <v/>
      </c>
      <c r="CF31" s="71">
        <f t="shared" si="61"/>
        <v>481</v>
      </c>
      <c r="CG31" s="71">
        <f>IF(OR(COUNTBLANK(CJ31)=1,ISERROR(CJ31)),"",COUNT($CJ$4:CJ31))</f>
        <v>28</v>
      </c>
      <c r="CH31" s="7" t="str">
        <f t="shared" si="62"/>
        <v>ナビ・</v>
      </c>
      <c r="CI31" s="1" t="str">
        <f t="shared" si="63"/>
        <v/>
      </c>
      <c r="CJ31" s="79">
        <f>IF(IF(COUNTIF($CJ$4:CJ30,CJ28)&gt;=MAX($D$4:$D$8),CJ28+3,CJ28)&gt;55,"",IF(COUNTIF($CJ$4:CJ30,CJ28)&gt;=MAX($D$4:$D$8),CJ28+3,CJ28))</f>
        <v>48</v>
      </c>
      <c r="CK31" s="1" t="str">
        <f t="shared" si="30"/>
        <v>p.46～p.47</v>
      </c>
      <c r="CL31" s="8" t="str">
        <f t="shared" si="64"/>
        <v/>
      </c>
      <c r="CN31" s="71">
        <f t="shared" si="51"/>
        <v>481</v>
      </c>
      <c r="CO31" s="71">
        <f>IF(OR(COUNTBLANK(CR31)=1,ISERROR(CR31)),"",COUNT($CR$4:CR31))</f>
        <v>28</v>
      </c>
      <c r="CP31" s="7" t="str">
        <f t="shared" si="52"/>
        <v>ナビ・</v>
      </c>
      <c r="CQ31" s="1" t="str">
        <f t="shared" si="53"/>
        <v/>
      </c>
      <c r="CR31" s="79">
        <f>IF(IF(COUNTIF($CR$4:CR30,CR27)&gt;=MAX($D$4:$D$8),CR27+4,CR27)&gt;55,"",IF(COUNTIF($CR$4:CR30,CR27)&gt;=MAX($D$4:$D$8),CR27+4,CR27))</f>
        <v>48</v>
      </c>
      <c r="CS31" s="1" t="str">
        <f t="shared" si="35"/>
        <v>p.46～p.47</v>
      </c>
      <c r="CT31" s="8" t="str">
        <f t="shared" si="54"/>
        <v/>
      </c>
      <c r="CV31" s="71">
        <f t="shared" si="65"/>
        <v>481</v>
      </c>
      <c r="CW31" s="71">
        <f>IF(OR(COUNTBLANK(CZ31)=1,ISERROR(CZ31)),"",COUNT($CZ$4:CZ31))</f>
        <v>28</v>
      </c>
      <c r="CX31" s="7" t="str">
        <f t="shared" si="66"/>
        <v>ナビ・</v>
      </c>
      <c r="CY31" s="1" t="str">
        <f t="shared" si="67"/>
        <v/>
      </c>
      <c r="CZ31" s="79">
        <f>IF(IF(COUNTIF($CZ$4:CZ30,CZ26)&gt;=MAX($D$4:$D$8),CZ26+5,CZ26)&gt;55,"",IF(COUNTIF($CZ$4:CZ30,CZ26)&gt;=MAX($D$4:$D$8),CZ26+5,CZ26))</f>
        <v>48</v>
      </c>
      <c r="DA31" s="1" t="str">
        <f t="shared" si="40"/>
        <v>p.46～p.47</v>
      </c>
      <c r="DB31" s="8" t="str">
        <f t="shared" si="68"/>
        <v/>
      </c>
    </row>
    <row r="32" spans="1:106" x14ac:dyDescent="0.15">
      <c r="E32" s="1">
        <v>29</v>
      </c>
      <c r="F32" s="1">
        <f t="shared" si="42"/>
        <v>1</v>
      </c>
      <c r="G32" s="1">
        <f t="shared" si="60"/>
        <v>1</v>
      </c>
      <c r="H32" s="1">
        <f t="shared" si="45"/>
        <v>1</v>
      </c>
      <c r="I32" s="1">
        <f t="shared" si="50"/>
        <v>1</v>
      </c>
      <c r="J32" s="1">
        <f t="shared" si="55"/>
        <v>1</v>
      </c>
      <c r="L32" s="1" t="str">
        <f>IF(ISERROR(HLOOKUP($C$10,$F$3:$J$253,30,0)),"",HLOOKUP($C$10,$F$3:$J$253,30,0))</f>
        <v/>
      </c>
      <c r="M32" s="81" t="str">
        <f>IF(OR(設定入力!E33="",設定入力!G33=""),"",設定入力!E33)</f>
        <v/>
      </c>
      <c r="O32" s="6" t="str">
        <f>IF(設定入力!$E$1=2,IF(OR(M32=0,M32="",COUNT($M$1)=0),"",IF($M$1+SUM($M$4:M31)&gt;$Q$1,"",$M$1+SUM($M$4:M31))),IF(OR(M32=0,M32="",COUNT($M$2)=0),"",IF($M$2+SUM($M$4:M31)&gt;$Q$1,"",$M$2+SUM($M$4:M31))))</f>
        <v/>
      </c>
      <c r="P32" s="4" t="str">
        <f t="shared" si="14"/>
        <v/>
      </c>
      <c r="Q32" s="4" t="str">
        <f t="shared" si="15"/>
        <v/>
      </c>
      <c r="S32" s="9">
        <v>29</v>
      </c>
      <c r="T32" s="1">
        <v>9</v>
      </c>
      <c r="U32" s="1" t="s">
        <v>23</v>
      </c>
      <c r="W32" s="71">
        <f t="shared" si="16"/>
        <v>491</v>
      </c>
      <c r="X32" s="71">
        <f>IF(OR(COUNTBLANK(AA32)=1,ISERROR(AA32)),"",COUNT(AA4:AA32))</f>
        <v>29</v>
      </c>
      <c r="Y32" s="7" t="str">
        <f t="shared" si="0"/>
        <v>ナビ・</v>
      </c>
      <c r="Z32" s="1" t="str">
        <f t="shared" si="17"/>
        <v/>
      </c>
      <c r="AA32" s="79">
        <f>IF(IF(COUNTIF(AA4:AA31,AA31)&gt;=MAX(D4:D8),AA31+1,AA31)&gt;50,"",IF(COUNTIF(AA4:AA31,AA31)&gt;=MAX(D4:D8),AA31+1,AA31))</f>
        <v>49</v>
      </c>
      <c r="AB32" s="1" t="str">
        <f>IF(AA32="","",VLOOKUP(AA32,S4:U53,3,0))</f>
        <v>p.58～p.59</v>
      </c>
      <c r="AC32" s="8" t="str">
        <f t="shared" si="1"/>
        <v/>
      </c>
      <c r="AE32" s="71">
        <f t="shared" si="2"/>
        <v>491</v>
      </c>
      <c r="AF32" s="71">
        <f>IF(OR(COUNTBLANK(AI32)=1,ISERROR(AI32)),"",COUNT(AI4:AI32))</f>
        <v>29</v>
      </c>
      <c r="AG32" s="7" t="str">
        <f t="shared" si="3"/>
        <v>ナビ・</v>
      </c>
      <c r="AH32" s="1" t="str">
        <f>IF(ISERROR(INDEX(C4:C8,MATCH(G32,D4:D8,0))),"",INDEX(C4:C8,MATCH(G32,D4:D8,0)))</f>
        <v/>
      </c>
      <c r="AI32" s="79">
        <f>IF(IF(COUNTIF(AI4:AI31,AI30)&gt;=MAX(D4:D8),AI30+2,AI30)&gt;50,"",IF(COUNTIF(AI4:AI31,AI30)&gt;=MAX(D4:D8),AI30+2,AI30))</f>
        <v>49</v>
      </c>
      <c r="AJ32" s="1" t="str">
        <f>IF(AI32="","",VLOOKUP(AI32,S4:U53,3,0))</f>
        <v>p.58～p.59</v>
      </c>
      <c r="AK32" s="8" t="str">
        <f t="shared" si="4"/>
        <v/>
      </c>
      <c r="AM32" s="71">
        <f t="shared" si="5"/>
        <v>491</v>
      </c>
      <c r="AN32" s="71">
        <f>IF(OR(COUNTBLANK(AQ32)=1,ISERROR(AQ32)),"",COUNT(AQ4:AQ32))</f>
        <v>29</v>
      </c>
      <c r="AO32" s="7" t="str">
        <f t="shared" si="6"/>
        <v>ナビ・</v>
      </c>
      <c r="AP32" s="1" t="str">
        <f>IF(ISERROR(INDEX(C4:C8,MATCH(H32,D4:D8,0))),"",INDEX(C4:C8,MATCH(H32,D4:D8,0)))</f>
        <v/>
      </c>
      <c r="AQ32" s="79">
        <f>IF(IF(COUNTIF(AQ4:AQ31,AQ29)&gt;=MAX(D4:D8),AQ29+3,AQ29)&gt;50,"",IF(COUNTIF(AQ4:AQ31,AQ29)&gt;=MAX(D4:D8),AQ29+3,AQ29))</f>
        <v>49</v>
      </c>
      <c r="AR32" s="1" t="str">
        <f>IF(AQ32="","",VLOOKUP(AQ32,S4:U53,3,0))</f>
        <v>p.58～p.59</v>
      </c>
      <c r="AS32" s="8" t="str">
        <f t="shared" si="7"/>
        <v/>
      </c>
      <c r="AU32" s="71">
        <f t="shared" si="8"/>
        <v>491</v>
      </c>
      <c r="AV32" s="71">
        <f>IF(OR(COUNTBLANK(AY32)=1,ISERROR(AY32)),"",COUNT(AY4:AY32))</f>
        <v>29</v>
      </c>
      <c r="AW32" s="7" t="str">
        <f t="shared" si="9"/>
        <v>ナビ・</v>
      </c>
      <c r="AX32" s="1" t="str">
        <f>IF(ISERROR(INDEX(C4:C8,MATCH(I32,D4:D8,0))),"",INDEX(C4:C8,MATCH(I32,D4:D8,0)))</f>
        <v/>
      </c>
      <c r="AY32" s="79">
        <f>IF(IF(COUNTIF(AY4:AY31,AY28)&gt;=MAX(D4:D8),AY28+4,AY28)&gt;50,"",IF(COUNTIF(AY4:AY31,AY28)&gt;=MAX(D4:D8),AY28+4,AY28))</f>
        <v>49</v>
      </c>
      <c r="AZ32" s="76" t="str">
        <f>IF(AY32="","",VLOOKUP(AY32,S4:U53,3,0))</f>
        <v>p.58～p.59</v>
      </c>
      <c r="BA32" s="8" t="str">
        <f t="shared" si="10"/>
        <v/>
      </c>
      <c r="BC32" s="71">
        <f t="shared" si="11"/>
        <v>491</v>
      </c>
      <c r="BD32" s="71">
        <f>IF(OR(COUNTBLANK(BG32)=1,ISERROR(BG32)),"",COUNT(BG4:BG32))</f>
        <v>29</v>
      </c>
      <c r="BE32" s="7" t="str">
        <f t="shared" si="12"/>
        <v>ナビ・</v>
      </c>
      <c r="BF32" s="1" t="str">
        <f>IF(ISERROR(INDEX(C4:C8,MATCH(J32,D4:D8,0))),"",INDEX(C4:C8,MATCH(J32,D4:D8,0)))</f>
        <v/>
      </c>
      <c r="BG32" s="79">
        <f>IF(IF(COUNTIF(BG4:BG31,BG27)&gt;=MAX(D4:D8),BG27+5,BG27)&gt;50,"",IF(COUNTIF(BG4:BG31,BG27)&gt;=MAX(D4:D8),BG27+5,BG27))</f>
        <v>49</v>
      </c>
      <c r="BH32" s="76" t="str">
        <f>IF(BG32="","",VLOOKUP(BG32,S4:U53,3,0))</f>
        <v>p.58～p.59</v>
      </c>
      <c r="BI32" s="8" t="str">
        <f t="shared" si="13"/>
        <v/>
      </c>
      <c r="BL32" s="115">
        <v>29</v>
      </c>
      <c r="BM32" s="112">
        <v>4</v>
      </c>
      <c r="BN32" s="112" t="s">
        <v>18</v>
      </c>
      <c r="BP32" s="71">
        <f>IF(BT32="","",BT32*10+4)</f>
        <v>494</v>
      </c>
      <c r="BQ32" s="71">
        <f>IF(OR(COUNTBLANK(BT32)=1,ISERROR(BT32)),"",COUNT(BT4:BT32))</f>
        <v>29</v>
      </c>
      <c r="BR32" s="7" t="str">
        <f t="shared" si="18"/>
        <v>ナビ・</v>
      </c>
      <c r="BS32" s="1" t="str">
        <f t="shared" si="19"/>
        <v/>
      </c>
      <c r="BT32" s="79">
        <f>IF(IF(COUNTIF($BT$4:BT31,BT31)&gt;=MAX($D$4:$D$8),BT31+1,BT31)&gt;55,"",IF(COUNTIF($BT$4:BT31,BT31)&gt;=MAX($D$4:$D$8),BT31+1,BT31))</f>
        <v>49</v>
      </c>
      <c r="BU32" s="1" t="str">
        <f t="shared" si="20"/>
        <v>p.48～p.49</v>
      </c>
      <c r="BV32" s="8" t="str">
        <f t="shared" si="21"/>
        <v/>
      </c>
      <c r="BX32" s="71">
        <f t="shared" si="22"/>
        <v>491</v>
      </c>
      <c r="BY32" s="71">
        <f>IF(OR(COUNTBLANK(CB32)=1,ISERROR(CB32)),"",COUNT($CB$4:CB32))</f>
        <v>29</v>
      </c>
      <c r="BZ32" s="7" t="str">
        <f t="shared" si="23"/>
        <v>ナビ・</v>
      </c>
      <c r="CA32" s="1" t="str">
        <f t="shared" si="24"/>
        <v/>
      </c>
      <c r="CB32" s="79">
        <f>IF(IF(COUNTIF($CB$4:CB31,CB30)&gt;=MAX($D$4:$D$8),CB30+2,CB30)&gt;55,"",IF(COUNTIF($CB$4:CB31,CB30)&gt;=MAX($D$4:$D$8),CB30+2,CB30))</f>
        <v>49</v>
      </c>
      <c r="CC32" s="1" t="str">
        <f t="shared" si="25"/>
        <v>p.48～p.49</v>
      </c>
      <c r="CD32" s="8" t="str">
        <f t="shared" si="26"/>
        <v/>
      </c>
      <c r="CF32" s="71">
        <f t="shared" si="61"/>
        <v>491</v>
      </c>
      <c r="CG32" s="71">
        <f>IF(OR(COUNTBLANK(CJ32)=1,ISERROR(CJ32)),"",COUNT($CJ$4:CJ32))</f>
        <v>29</v>
      </c>
      <c r="CH32" s="7" t="str">
        <f t="shared" si="62"/>
        <v>ナビ・</v>
      </c>
      <c r="CI32" s="1" t="str">
        <f t="shared" si="63"/>
        <v/>
      </c>
      <c r="CJ32" s="79">
        <f>IF(IF(COUNTIF($CJ$4:CJ31,CJ29)&gt;=MAX($D$4:$D$8),CJ29+3,CJ29)&gt;55,"",IF(COUNTIF($CJ$4:CJ31,CJ29)&gt;=MAX($D$4:$D$8),CJ29+3,CJ29))</f>
        <v>49</v>
      </c>
      <c r="CK32" s="1" t="str">
        <f t="shared" si="30"/>
        <v>p.48～p.49</v>
      </c>
      <c r="CL32" s="8" t="str">
        <f t="shared" si="64"/>
        <v/>
      </c>
      <c r="CN32" s="71">
        <f t="shared" si="51"/>
        <v>491</v>
      </c>
      <c r="CO32" s="71">
        <f>IF(OR(COUNTBLANK(CR32)=1,ISERROR(CR32)),"",COUNT($CR$4:CR32))</f>
        <v>29</v>
      </c>
      <c r="CP32" s="7" t="str">
        <f t="shared" si="52"/>
        <v>ナビ・</v>
      </c>
      <c r="CQ32" s="1" t="str">
        <f t="shared" si="53"/>
        <v/>
      </c>
      <c r="CR32" s="79">
        <f>IF(IF(COUNTIF($CR$4:CR31,CR28)&gt;=MAX($D$4:$D$8),CR28+4,CR28)&gt;55,"",IF(COUNTIF($CR$4:CR31,CR28)&gt;=MAX($D$4:$D$8),CR28+4,CR28))</f>
        <v>49</v>
      </c>
      <c r="CS32" s="1" t="str">
        <f t="shared" si="35"/>
        <v>p.48～p.49</v>
      </c>
      <c r="CT32" s="8" t="str">
        <f t="shared" si="54"/>
        <v/>
      </c>
      <c r="CV32" s="71">
        <f t="shared" si="65"/>
        <v>491</v>
      </c>
      <c r="CW32" s="71">
        <f>IF(OR(COUNTBLANK(CZ32)=1,ISERROR(CZ32)),"",COUNT($CZ$4:CZ32))</f>
        <v>29</v>
      </c>
      <c r="CX32" s="7" t="str">
        <f t="shared" si="66"/>
        <v>ナビ・</v>
      </c>
      <c r="CY32" s="1" t="str">
        <f t="shared" si="67"/>
        <v/>
      </c>
      <c r="CZ32" s="79">
        <f>IF(IF(COUNTIF($CZ$4:CZ31,CZ27)&gt;=MAX($D$4:$D$8),CZ27+5,CZ27)&gt;55,"",IF(COUNTIF($CZ$4:CZ31,CZ27)&gt;=MAX($D$4:$D$8),CZ27+5,CZ27))</f>
        <v>49</v>
      </c>
      <c r="DA32" s="1" t="str">
        <f t="shared" si="40"/>
        <v>p.48～p.49</v>
      </c>
      <c r="DB32" s="8" t="str">
        <f t="shared" si="68"/>
        <v/>
      </c>
    </row>
    <row r="33" spans="5:106" x14ac:dyDescent="0.15">
      <c r="E33" s="1">
        <v>30</v>
      </c>
      <c r="F33" s="1">
        <f t="shared" si="42"/>
        <v>1</v>
      </c>
      <c r="G33" s="1">
        <f t="shared" si="60"/>
        <v>1</v>
      </c>
      <c r="H33" s="1">
        <f t="shared" si="45"/>
        <v>1</v>
      </c>
      <c r="I33" s="1">
        <f t="shared" si="50"/>
        <v>1</v>
      </c>
      <c r="J33" s="1">
        <f t="shared" si="55"/>
        <v>1</v>
      </c>
      <c r="L33" s="1" t="str">
        <f>IF(ISERROR(HLOOKUP($C$10,$F$3:$J$253,31,0)),"",HLOOKUP($C$10,$F$3:$J$253,31,0))</f>
        <v/>
      </c>
      <c r="M33" s="81" t="str">
        <f>IF(OR(設定入力!E34="",設定入力!G34=""),"",設定入力!E34)</f>
        <v/>
      </c>
      <c r="O33" s="6" t="str">
        <f>IF(設定入力!$E$1=2,IF(OR(M33=0,M33="",COUNT($M$1)=0),"",IF($M$1+SUM($M$4:M32)&gt;$Q$1,"",$M$1+SUM($M$4:M32))),IF(OR(M33=0,M33="",COUNT($M$2)=0),"",IF($M$2+SUM($M$4:M32)&gt;$Q$1,"",$M$2+SUM($M$4:M32))))</f>
        <v/>
      </c>
      <c r="P33" s="4" t="str">
        <f t="shared" si="14"/>
        <v/>
      </c>
      <c r="Q33" s="4" t="str">
        <f t="shared" si="15"/>
        <v/>
      </c>
      <c r="S33" s="9">
        <v>30</v>
      </c>
      <c r="T33" s="1">
        <v>10</v>
      </c>
      <c r="U33" s="1" t="s">
        <v>24</v>
      </c>
      <c r="W33" s="71">
        <f>IF(AA33="","",AA33*10+5)</f>
        <v>505</v>
      </c>
      <c r="X33" s="71">
        <f>IF(OR(COUNTBLANK(AA33)=1,ISERROR(AA33)),"",COUNT(AA4:AA33))</f>
        <v>30</v>
      </c>
      <c r="Y33" s="7" t="str">
        <f t="shared" si="0"/>
        <v>ナビ・</v>
      </c>
      <c r="Z33" s="1" t="str">
        <f t="shared" si="17"/>
        <v/>
      </c>
      <c r="AA33" s="79">
        <f>IF(IF(COUNTIF(AA4:AA32,AA32)&gt;=MAX(D4:D8),AA32+1,AA32)&gt;50,"",IF(COUNTIF(AA4:AA32,AA32)&gt;=MAX(D4:D8),AA32+1,AA32))</f>
        <v>50</v>
      </c>
      <c r="AB33" s="1" t="str">
        <f>IF(AA33="","",VLOOKUP(AA33,S4:U53,3,0))</f>
        <v>p.60～p.61</v>
      </c>
      <c r="AC33" s="8" t="str">
        <f t="shared" si="1"/>
        <v/>
      </c>
      <c r="AE33" s="71">
        <f t="shared" si="2"/>
        <v>501</v>
      </c>
      <c r="AF33" s="71">
        <f>IF(OR(COUNTBLANK(AI33)=1,ISERROR(AI33)),"",COUNT(AI4:AI33))</f>
        <v>30</v>
      </c>
      <c r="AG33" s="7" t="str">
        <f t="shared" si="3"/>
        <v>ナビ・</v>
      </c>
      <c r="AH33" s="1" t="str">
        <f>IF(ISERROR(INDEX(C4:C8,MATCH(G33,D4:D8,0))),"",INDEX(C4:C8,MATCH(G33,D4:D8,0)))</f>
        <v/>
      </c>
      <c r="AI33" s="79">
        <f>IF(IF(COUNTIF(AI4:AI31,AI31)&gt;=MAX(D4:D8),AI31+2,AI31)&gt;50,"",IF(COUNTIF(AI4:AI31,AI31)&gt;=MAX(D4:D8),AI31+2,AI31))</f>
        <v>50</v>
      </c>
      <c r="AJ33" s="1" t="str">
        <f>IF(AI33="","",VLOOKUP(AI33,S4:U53,3,0))</f>
        <v>p.60～p.61</v>
      </c>
      <c r="AK33" s="8" t="str">
        <f t="shared" si="4"/>
        <v/>
      </c>
      <c r="AM33" s="71">
        <f t="shared" si="5"/>
        <v>501</v>
      </c>
      <c r="AN33" s="71">
        <f>IF(OR(COUNTBLANK(AQ33)=1,ISERROR(AQ33)),"",COUNT(AQ4:AQ33))</f>
        <v>30</v>
      </c>
      <c r="AO33" s="7" t="str">
        <f t="shared" si="6"/>
        <v>ナビ・</v>
      </c>
      <c r="AP33" s="1" t="str">
        <f>IF(ISERROR(INDEX(C4:C8,MATCH(H33,D4:D8,0))),"",INDEX(C4:C8,MATCH(H33,D4:D8,0)))</f>
        <v/>
      </c>
      <c r="AQ33" s="79">
        <f>IF(IF(COUNTIF(AQ4:AQ32,AQ30)&gt;=MAX(D4:D8),AQ30+3,AQ30)&gt;50,"",IF(COUNTIF(AQ4:AQ32,AQ30)&gt;=MAX(D4:D8),AQ30+3,AQ30))</f>
        <v>50</v>
      </c>
      <c r="AR33" s="1" t="str">
        <f>IF(AQ33="","",VLOOKUP(AQ33,S4:U53,3,0))</f>
        <v>p.60～p.61</v>
      </c>
      <c r="AS33" s="8" t="str">
        <f t="shared" si="7"/>
        <v/>
      </c>
      <c r="AU33" s="71">
        <f t="shared" si="8"/>
        <v>501</v>
      </c>
      <c r="AV33" s="71">
        <f>IF(OR(COUNTBLANK(AY33)=1,ISERROR(AY33)),"",COUNT(AY4:AY33))</f>
        <v>30</v>
      </c>
      <c r="AW33" s="7" t="str">
        <f t="shared" si="9"/>
        <v>ナビ・</v>
      </c>
      <c r="AX33" s="1" t="str">
        <f>IF(ISERROR(INDEX(C4:C8,MATCH(I33,D4:D8,0))),"",INDEX(C4:C8,MATCH(I33,D4:D8,0)))</f>
        <v/>
      </c>
      <c r="AY33" s="79">
        <f>IF(IF(COUNTIF(AY4:AY32,AY29)&gt;=MAX(D4:D8),AY29+4,AY29)&gt;50,"",IF(COUNTIF(AY4:AY32,AY29)&gt;=MAX(D4:D8),AY29+4,AY29))</f>
        <v>50</v>
      </c>
      <c r="AZ33" s="76" t="str">
        <f>IF(AY33="","",VLOOKUP(AY33,S4:U53,3,0))</f>
        <v>p.60～p.61</v>
      </c>
      <c r="BA33" s="8" t="str">
        <f t="shared" si="10"/>
        <v/>
      </c>
      <c r="BC33" s="71">
        <f t="shared" si="11"/>
        <v>501</v>
      </c>
      <c r="BD33" s="71">
        <f>IF(OR(COUNTBLANK(BG33)=1,ISERROR(BG33)),"",COUNT(BG4:BG33))</f>
        <v>30</v>
      </c>
      <c r="BE33" s="7" t="str">
        <f t="shared" si="12"/>
        <v>ナビ・</v>
      </c>
      <c r="BF33" s="1" t="str">
        <f>IF(ISERROR(INDEX(C4:C8,MATCH(J33,D4:D8,0))),"",INDEX(C4:C8,MATCH(J33,D4:D8,0)))</f>
        <v/>
      </c>
      <c r="BG33" s="79">
        <f>IF(IF(COUNTIF(BG4:BG32,BG28)&gt;=MAX(D4:D8),BG28+5,BG28)&gt;50,"",IF(COUNTIF(BG4:BG32,BG28)&gt;=MAX(D4:D8),BG28+5,BG28))</f>
        <v>50</v>
      </c>
      <c r="BH33" s="76" t="str">
        <f>IF(BG33="","",VLOOKUP(BG33,S4:U53,3,0))</f>
        <v>p.60～p.61</v>
      </c>
      <c r="BI33" s="8" t="str">
        <f t="shared" si="13"/>
        <v/>
      </c>
      <c r="BL33" s="115">
        <v>30</v>
      </c>
      <c r="BM33" s="112">
        <v>5</v>
      </c>
      <c r="BN33" s="112" t="s">
        <v>19</v>
      </c>
      <c r="BP33" s="71">
        <f>IF(BT33="","",BT33*10+5)</f>
        <v>505</v>
      </c>
      <c r="BQ33" s="71">
        <f>IF(OR(COUNTBLANK(BT33)=1,ISERROR(BT33)),"",COUNT(BT4:BT33))</f>
        <v>30</v>
      </c>
      <c r="BR33" s="7" t="str">
        <f t="shared" si="18"/>
        <v>ナビ・</v>
      </c>
      <c r="BS33" s="1" t="str">
        <f t="shared" si="19"/>
        <v/>
      </c>
      <c r="BT33" s="79">
        <f>IF(IF(COUNTIF($BT$4:BT32,BT32)&gt;=MAX($D$4:$D$8),BT32+1,BT32)&gt;55,"",IF(COUNTIF($BT$4:BT32,BT32)&gt;=MAX($D$4:$D$8),BT32+1,BT32))</f>
        <v>50</v>
      </c>
      <c r="BU33" s="1" t="str">
        <f t="shared" si="20"/>
        <v>p.50～p.51</v>
      </c>
      <c r="BV33" s="8" t="str">
        <f t="shared" si="21"/>
        <v/>
      </c>
      <c r="BX33" s="71">
        <f t="shared" si="22"/>
        <v>501</v>
      </c>
      <c r="BY33" s="71">
        <f>IF(OR(COUNTBLANK(CB33)=1,ISERROR(CB33)),"",COUNT($CB$4:CB33))</f>
        <v>30</v>
      </c>
      <c r="BZ33" s="7" t="str">
        <f t="shared" si="23"/>
        <v>ナビ・</v>
      </c>
      <c r="CA33" s="1" t="str">
        <f t="shared" si="24"/>
        <v/>
      </c>
      <c r="CB33" s="79">
        <f>IF(IF(COUNTIF($CB$4:CB32,CB31)&gt;=MAX($D$4:$D$8),CB31+2,CB31)&gt;55,"",IF(COUNTIF($CB$4:CB32,CB31)&gt;=MAX($D$4:$D$8),CB31+2,CB31))</f>
        <v>50</v>
      </c>
      <c r="CC33" s="1" t="str">
        <f t="shared" si="25"/>
        <v>p.50～p.51</v>
      </c>
      <c r="CD33" s="8" t="str">
        <f t="shared" si="26"/>
        <v/>
      </c>
      <c r="CF33" s="71">
        <f t="shared" si="61"/>
        <v>501</v>
      </c>
      <c r="CG33" s="71">
        <f>IF(OR(COUNTBLANK(CJ33)=1,ISERROR(CJ33)),"",COUNT($CJ$4:CJ33))</f>
        <v>30</v>
      </c>
      <c r="CH33" s="7" t="str">
        <f t="shared" si="62"/>
        <v>ナビ・</v>
      </c>
      <c r="CI33" s="1" t="str">
        <f t="shared" si="63"/>
        <v/>
      </c>
      <c r="CJ33" s="79">
        <f>IF(IF(COUNTIF($CJ$4:CJ32,CJ30)&gt;=MAX($D$4:$D$8),CJ30+3,CJ30)&gt;55,"",IF(COUNTIF($CJ$4:CJ32,CJ30)&gt;=MAX($D$4:$D$8),CJ30+3,CJ30))</f>
        <v>50</v>
      </c>
      <c r="CK33" s="1" t="str">
        <f t="shared" si="30"/>
        <v>p.50～p.51</v>
      </c>
      <c r="CL33" s="8" t="str">
        <f t="shared" si="64"/>
        <v/>
      </c>
      <c r="CN33" s="71">
        <f t="shared" si="51"/>
        <v>501</v>
      </c>
      <c r="CO33" s="71">
        <f>IF(OR(COUNTBLANK(CR33)=1,ISERROR(CR33)),"",COUNT($CR$4:CR33))</f>
        <v>30</v>
      </c>
      <c r="CP33" s="7" t="str">
        <f t="shared" si="52"/>
        <v>ナビ・</v>
      </c>
      <c r="CQ33" s="1" t="str">
        <f t="shared" si="53"/>
        <v/>
      </c>
      <c r="CR33" s="79">
        <f>IF(IF(COUNTIF($CR$4:CR32,CR29)&gt;=MAX($D$4:$D$8),CR29+4,CR29)&gt;55,"",IF(COUNTIF($CR$4:CR32,CR29)&gt;=MAX($D$4:$D$8),CR29+4,CR29))</f>
        <v>50</v>
      </c>
      <c r="CS33" s="1" t="str">
        <f t="shared" si="35"/>
        <v>p.50～p.51</v>
      </c>
      <c r="CT33" s="8" t="str">
        <f t="shared" si="54"/>
        <v/>
      </c>
      <c r="CV33" s="71">
        <f t="shared" si="65"/>
        <v>501</v>
      </c>
      <c r="CW33" s="71">
        <f>IF(OR(COUNTBLANK(CZ33)=1,ISERROR(CZ33)),"",COUNT($CZ$4:CZ33))</f>
        <v>30</v>
      </c>
      <c r="CX33" s="7" t="str">
        <f t="shared" si="66"/>
        <v>ナビ・</v>
      </c>
      <c r="CY33" s="1" t="str">
        <f t="shared" si="67"/>
        <v/>
      </c>
      <c r="CZ33" s="79">
        <f>IF(IF(COUNTIF($CZ$4:CZ32,CZ28)&gt;=MAX($D$4:$D$8),CZ28+5,CZ28)&gt;55,"",IF(COUNTIF($CZ$4:CZ32,CZ28)&gt;=MAX($D$4:$D$8),CZ28+5,CZ28))</f>
        <v>50</v>
      </c>
      <c r="DA33" s="1" t="str">
        <f t="shared" si="40"/>
        <v>p.50～p.51</v>
      </c>
      <c r="DB33" s="8" t="str">
        <f t="shared" si="68"/>
        <v/>
      </c>
    </row>
    <row r="34" spans="5:106" x14ac:dyDescent="0.15">
      <c r="E34" s="1">
        <v>31</v>
      </c>
      <c r="F34" s="1">
        <f t="shared" si="42"/>
        <v>1</v>
      </c>
      <c r="G34" s="1">
        <f t="shared" si="60"/>
        <v>1</v>
      </c>
      <c r="H34" s="1">
        <f t="shared" si="45"/>
        <v>1</v>
      </c>
      <c r="I34" s="1">
        <f t="shared" si="50"/>
        <v>1</v>
      </c>
      <c r="J34" s="1">
        <f t="shared" si="55"/>
        <v>1</v>
      </c>
      <c r="L34" s="1" t="str">
        <f>IF(ISERROR(HLOOKUP($C$10,$F$3:$J$253,32,0)),"",HLOOKUP($C$10,$F$3:$J$253,32,0))</f>
        <v/>
      </c>
      <c r="M34" s="81" t="str">
        <f>IF(OR(設定入力!E35="",設定入力!G35=""),"",設定入力!E35)</f>
        <v/>
      </c>
      <c r="O34" s="6" t="str">
        <f>IF(設定入力!$E$1=2,IF(OR(M34=0,M34="",COUNT($M$1)=0),"",IF($M$1+SUM($M$4:M33)&gt;$Q$1,"",$M$1+SUM($M$4:M33))),IF(OR(M34=0,M34="",COUNT($M$2)=0),"",IF($M$2+SUM($M$4:M33)&gt;$Q$1,"",$M$2+SUM($M$4:M33))))</f>
        <v/>
      </c>
      <c r="P34" s="4" t="str">
        <f t="shared" si="14"/>
        <v/>
      </c>
      <c r="Q34" s="4" t="str">
        <f t="shared" si="15"/>
        <v/>
      </c>
      <c r="S34" s="9">
        <v>31</v>
      </c>
      <c r="T34" s="1">
        <v>11</v>
      </c>
      <c r="U34" s="1" t="s">
        <v>25</v>
      </c>
      <c r="W34" s="71" t="str">
        <f>IF(AA34="","",AA34*10+1)</f>
        <v/>
      </c>
      <c r="X34" s="71" t="str">
        <f>IF(OR(COUNTBLANK(AA34)=1,ISERROR(AA34)),"",COUNT(AA4:AA34))</f>
        <v/>
      </c>
      <c r="Y34" s="7" t="str">
        <f t="shared" si="0"/>
        <v>ナビ・</v>
      </c>
      <c r="Z34" s="1" t="str">
        <f t="shared" si="17"/>
        <v/>
      </c>
      <c r="AA34" s="79" t="str">
        <f>IF(IF(COUNTIF(AA4:AA33,AA33)&gt;=MAX(D4:D8),AA33+1,AA33)&gt;50,"",IF(COUNTIF(AA4:AA33,AA33)&gt;=MAX(D4:D8),AA33+1,AA33))</f>
        <v/>
      </c>
      <c r="AB34" s="1" t="str">
        <f>IF(AA34="","",VLOOKUP(AA34,S4:U53,3,0))</f>
        <v/>
      </c>
      <c r="AC34" s="8" t="str">
        <f t="shared" si="1"/>
        <v/>
      </c>
      <c r="AE34" s="71" t="str">
        <f t="shared" si="2"/>
        <v/>
      </c>
      <c r="AF34" s="71" t="str">
        <f>IF(OR(COUNTBLANK(AI34)=1,ISERROR(AI34)),"",COUNT(AI4:AI34))</f>
        <v/>
      </c>
      <c r="AG34" s="7" t="str">
        <f t="shared" si="3"/>
        <v>ナビ・</v>
      </c>
      <c r="AH34" s="1" t="str">
        <f>IF(ISERROR(INDEX(C4:C8,MATCH(G34,D4:D8,0))),"",INDEX(C4:C8,MATCH(G34,D4:D8,0)))</f>
        <v/>
      </c>
      <c r="AI34" s="79" t="str">
        <f>IF(IF(COUNTIF(AI4:AI33,AI32)&gt;=MAX(D4:D8),AI32+2,AI32)&gt;50,"",IF(COUNTIF(AI4:AI33,AI32)&gt;=MAX(D4:D8),AI32+2,AI32))</f>
        <v/>
      </c>
      <c r="AJ34" s="1" t="str">
        <f>IF(AI34="","",VLOOKUP(AI34,S4:U53,3,0))</f>
        <v/>
      </c>
      <c r="AK34" s="8" t="str">
        <f t="shared" si="4"/>
        <v/>
      </c>
      <c r="AM34" s="71" t="str">
        <f t="shared" si="5"/>
        <v/>
      </c>
      <c r="AN34" s="71" t="str">
        <f>IF(OR(COUNTBLANK(AQ34)=1,ISERROR(AQ34)),"",COUNT(AQ4:AQ34))</f>
        <v/>
      </c>
      <c r="AO34" s="7" t="str">
        <f t="shared" si="6"/>
        <v>ナビ・</v>
      </c>
      <c r="AP34" s="1" t="str">
        <f>IF(ISERROR(INDEX(C4:C8,MATCH(H34,D4:D8,0))),"",INDEX(C4:C8,MATCH(H34,D4:D8,0)))</f>
        <v/>
      </c>
      <c r="AQ34" s="79" t="str">
        <f>IF(IF(COUNTIF(AQ4:AQ33,AQ31)&gt;=MAX(D4:D8),AQ31+3,AQ31)&gt;50,"",IF(COUNTIF(AQ4:AQ33,AQ31)&gt;=MAX(D4:D8),AQ31+3,AQ31))</f>
        <v/>
      </c>
      <c r="AR34" s="1" t="str">
        <f>IF(AQ34="","",VLOOKUP(AQ34,S4:U53,3,0))</f>
        <v/>
      </c>
      <c r="AS34" s="8" t="str">
        <f t="shared" si="7"/>
        <v/>
      </c>
      <c r="AU34" s="71" t="str">
        <f t="shared" si="8"/>
        <v/>
      </c>
      <c r="AV34" s="71" t="str">
        <f>IF(OR(COUNTBLANK(AY34)=1,ISERROR(AY34)),"",COUNT(AY4:AY34))</f>
        <v/>
      </c>
      <c r="AW34" s="7" t="str">
        <f t="shared" si="9"/>
        <v>ナビ・</v>
      </c>
      <c r="AX34" s="1" t="str">
        <f>IF(ISERROR(INDEX(C4:C8,MATCH(I34,D4:D8,0))),"",INDEX(C4:C8,MATCH(I34,D4:D8,0)))</f>
        <v/>
      </c>
      <c r="AY34" s="79" t="str">
        <f>IF(IF(COUNTIF(AY4:AY33,AY30)&gt;=MAX(D4:D8),AY30+4,AY30)&gt;50,"",IF(COUNTIF(AY4:AY33,AY30)&gt;=MAX(D4:D8),AY30+4,AY30))</f>
        <v/>
      </c>
      <c r="AZ34" s="76" t="str">
        <f>IF(AY34="","",VLOOKUP(AY34,S4:U53,3,0))</f>
        <v/>
      </c>
      <c r="BA34" s="8" t="str">
        <f t="shared" si="10"/>
        <v/>
      </c>
      <c r="BC34" s="71" t="str">
        <f t="shared" si="11"/>
        <v/>
      </c>
      <c r="BD34" s="71" t="str">
        <f>IF(OR(COUNTBLANK(BG34)=1,ISERROR(BG34)),"",COUNT(BG4:BG34))</f>
        <v/>
      </c>
      <c r="BE34" s="7" t="str">
        <f t="shared" si="12"/>
        <v>ナビ・</v>
      </c>
      <c r="BF34" s="1" t="str">
        <f>IF(ISERROR(INDEX(C4:C8,MATCH(J34,D4:D8,0))),"",INDEX(C4:C8,MATCH(J34,D4:D8,0)))</f>
        <v/>
      </c>
      <c r="BG34" s="79" t="str">
        <f>IF(IF(COUNTIF(BG4:BG33,BG29)&gt;=MAX(D4:D8),BG29+5,BG29)&gt;50,"",IF(COUNTIF(BG4:BG33,BG29)&gt;=MAX(D4:D8),BG29+5,BG29))</f>
        <v/>
      </c>
      <c r="BH34" s="76" t="str">
        <f>IF(BG34="","",VLOOKUP(BG34,S4:U53,3,0))</f>
        <v/>
      </c>
      <c r="BI34" s="8" t="str">
        <f t="shared" si="13"/>
        <v/>
      </c>
      <c r="BL34" s="115">
        <v>31</v>
      </c>
      <c r="BM34" s="112">
        <v>6</v>
      </c>
      <c r="BN34" s="112" t="s">
        <v>20</v>
      </c>
      <c r="BP34" s="71">
        <f>IF(BT34="","",BT34*10+1)</f>
        <v>511</v>
      </c>
      <c r="BQ34" s="71">
        <f>IF(OR(COUNTBLANK(BT34)=1,ISERROR(BT34)),"",COUNT(BT4:BT34))</f>
        <v>31</v>
      </c>
      <c r="BR34" s="7" t="str">
        <f t="shared" si="18"/>
        <v>ナビ・</v>
      </c>
      <c r="BS34" s="1" t="str">
        <f t="shared" si="19"/>
        <v/>
      </c>
      <c r="BT34" s="79">
        <f>IF(IF(COUNTIF($BT$4:BT33,BT33)&gt;=MAX($D$4:$D$8),BT33+1,BT33)&gt;55,"",IF(COUNTIF($BT$4:BT33,BT33)&gt;=MAX($D$4:$D$8),BT33+1,BT33))</f>
        <v>51</v>
      </c>
      <c r="BU34" s="1" t="str">
        <f t="shared" si="20"/>
        <v>p.52～p.53</v>
      </c>
      <c r="BV34" s="8" t="str">
        <f t="shared" si="21"/>
        <v/>
      </c>
      <c r="BX34" s="71">
        <f t="shared" si="22"/>
        <v>511</v>
      </c>
      <c r="BY34" s="71">
        <f>IF(OR(COUNTBLANK(CB34)=1,ISERROR(CB34)),"",COUNT($CB$4:CB34))</f>
        <v>31</v>
      </c>
      <c r="BZ34" s="7" t="str">
        <f t="shared" si="23"/>
        <v>ナビ・</v>
      </c>
      <c r="CA34" s="1" t="str">
        <f t="shared" si="24"/>
        <v/>
      </c>
      <c r="CB34" s="79">
        <f>IF(IF(COUNTIF($CB$4:CB33,CB32)&gt;=MAX($D$4:$D$8),CB32+2,CB32)&gt;55,"",IF(COUNTIF($CB$4:CB33,CB32)&gt;=MAX($D$4:$D$8),CB32+2,CB32))</f>
        <v>51</v>
      </c>
      <c r="CC34" s="1" t="str">
        <f t="shared" si="25"/>
        <v>p.52～p.53</v>
      </c>
      <c r="CD34" s="8" t="str">
        <f t="shared" si="26"/>
        <v/>
      </c>
      <c r="CF34" s="71">
        <f t="shared" si="61"/>
        <v>511</v>
      </c>
      <c r="CG34" s="71">
        <f>IF(OR(COUNTBLANK(CJ34)=1,ISERROR(CJ34)),"",COUNT($CJ$4:CJ34))</f>
        <v>31</v>
      </c>
      <c r="CH34" s="7" t="str">
        <f t="shared" si="62"/>
        <v>ナビ・</v>
      </c>
      <c r="CI34" s="1" t="str">
        <f t="shared" si="63"/>
        <v/>
      </c>
      <c r="CJ34" s="79">
        <f>IF(IF(COUNTIF($CJ$4:CJ33,CJ31)&gt;=MAX($D$4:$D$8),CJ31+3,CJ31)&gt;55,"",IF(COUNTIF($CJ$4:CJ33,CJ31)&gt;=MAX($D$4:$D$8),CJ31+3,CJ31))</f>
        <v>51</v>
      </c>
      <c r="CK34" s="1" t="str">
        <f t="shared" si="30"/>
        <v>p.52～p.53</v>
      </c>
      <c r="CL34" s="8" t="str">
        <f t="shared" si="64"/>
        <v/>
      </c>
      <c r="CN34" s="71">
        <f t="shared" si="51"/>
        <v>511</v>
      </c>
      <c r="CO34" s="71">
        <f>IF(OR(COUNTBLANK(CR34)=1,ISERROR(CR34)),"",COUNT($CR$4:CR34))</f>
        <v>31</v>
      </c>
      <c r="CP34" s="7" t="str">
        <f t="shared" si="52"/>
        <v>ナビ・</v>
      </c>
      <c r="CQ34" s="1" t="str">
        <f t="shared" si="53"/>
        <v/>
      </c>
      <c r="CR34" s="79">
        <f>IF(IF(COUNTIF($CR$4:CR33,CR30)&gt;=MAX($D$4:$D$8),CR30+4,CR30)&gt;55,"",IF(COUNTIF($CR$4:CR33,CR30)&gt;=MAX($D$4:$D$8),CR30+4,CR30))</f>
        <v>51</v>
      </c>
      <c r="CS34" s="1" t="str">
        <f t="shared" si="35"/>
        <v>p.52～p.53</v>
      </c>
      <c r="CT34" s="8" t="str">
        <f t="shared" si="54"/>
        <v/>
      </c>
      <c r="CV34" s="71">
        <f t="shared" si="65"/>
        <v>511</v>
      </c>
      <c r="CW34" s="71">
        <f>IF(OR(COUNTBLANK(CZ34)=1,ISERROR(CZ34)),"",COUNT($CZ$4:CZ34))</f>
        <v>31</v>
      </c>
      <c r="CX34" s="7" t="str">
        <f t="shared" si="66"/>
        <v>ナビ・</v>
      </c>
      <c r="CY34" s="1" t="str">
        <f t="shared" si="67"/>
        <v/>
      </c>
      <c r="CZ34" s="79">
        <f>IF(IF(COUNTIF($CZ$4:CZ33,CZ29)&gt;=MAX($D$4:$D$8),CZ29+5,CZ29)&gt;55,"",IF(COUNTIF($CZ$4:CZ33,CZ29)&gt;=MAX($D$4:$D$8),CZ29+5,CZ29))</f>
        <v>51</v>
      </c>
      <c r="DA34" s="1" t="str">
        <f t="shared" si="40"/>
        <v>p.52～p.53</v>
      </c>
      <c r="DB34" s="8" t="str">
        <f t="shared" si="68"/>
        <v/>
      </c>
    </row>
    <row r="35" spans="5:106" x14ac:dyDescent="0.15">
      <c r="E35" s="1">
        <v>32</v>
      </c>
      <c r="F35" s="1">
        <f t="shared" si="42"/>
        <v>1</v>
      </c>
      <c r="G35" s="1">
        <f t="shared" si="60"/>
        <v>1</v>
      </c>
      <c r="H35" s="1">
        <f t="shared" si="45"/>
        <v>1</v>
      </c>
      <c r="I35" s="1">
        <f t="shared" si="50"/>
        <v>1</v>
      </c>
      <c r="J35" s="1">
        <f t="shared" si="55"/>
        <v>1</v>
      </c>
      <c r="L35" s="1" t="str">
        <f>IF(ISERROR(HLOOKUP($C$10,$F$3:$J$253,33,0)),"",HLOOKUP($C$10,$F$3:$J$253,33,0))</f>
        <v/>
      </c>
      <c r="S35" s="9">
        <v>32</v>
      </c>
      <c r="T35" s="1">
        <v>12</v>
      </c>
      <c r="U35" s="1" t="s">
        <v>26</v>
      </c>
      <c r="W35" s="71" t="e">
        <f>IF(AA35="","",AA35*10+2)</f>
        <v>#VALUE!</v>
      </c>
      <c r="X35" s="71" t="str">
        <f>IF(OR(COUNTBLANK(AA35)=1,ISERROR(AA35)),"",COUNT(AA4:AA35))</f>
        <v/>
      </c>
      <c r="Y35" s="7" t="e">
        <f t="shared" si="0"/>
        <v>#VALUE!</v>
      </c>
      <c r="Z35" s="1" t="str">
        <f t="shared" si="17"/>
        <v/>
      </c>
      <c r="AA35" s="79" t="e">
        <f>IF(IF(COUNTIF(AA4:AA34,AA34)&gt;=MAX(D4:D8),AA34+1,AA34)&gt;50,"",IF(COUNTIF(AA4:AA34,AA34)&gt;=MAX(D4:D8),AA34+1,AA34))</f>
        <v>#VALUE!</v>
      </c>
      <c r="AB35" s="1" t="e">
        <f>IF(AA35="","",VLOOKUP(AA35,S4:U53,3,0))</f>
        <v>#VALUE!</v>
      </c>
      <c r="AC35" s="8" t="str">
        <f t="shared" si="1"/>
        <v/>
      </c>
      <c r="AE35" s="71" t="str">
        <f t="shared" si="2"/>
        <v/>
      </c>
      <c r="AF35" s="71" t="str">
        <f>IF(OR(COUNTBLANK(AI35)=1,ISERROR(AI35)),"",COUNT(AI4:AI35))</f>
        <v/>
      </c>
      <c r="AG35" s="7" t="str">
        <f t="shared" si="3"/>
        <v>ナビ・</v>
      </c>
      <c r="AH35" s="1" t="str">
        <f>IF(ISERROR(INDEX(C4:C8,MATCH(G35,D4:D8,0))),"",INDEX(C4:C8,MATCH(G35,D4:D8,0)))</f>
        <v/>
      </c>
      <c r="AI35" s="79" t="str">
        <f>IF(IF(COUNTIF(AI4:AI33,AI33)&gt;=MAX(D4:D8),AI33+2,AI33)&gt;50,"",IF(COUNTIF(AI4:AI33,AI33)&gt;=MAX(D4:D8),AI33+2,AI33))</f>
        <v/>
      </c>
      <c r="AJ35" s="1" t="str">
        <f>IF(AI35="","",VLOOKUP(AI35,S4:U53,3,0))</f>
        <v/>
      </c>
      <c r="AK35" s="8" t="str">
        <f t="shared" si="4"/>
        <v/>
      </c>
      <c r="AM35" s="71" t="str">
        <f t="shared" si="5"/>
        <v/>
      </c>
      <c r="AN35" s="71" t="str">
        <f>IF(OR(COUNTBLANK(AQ35)=1,ISERROR(AQ35)),"",COUNT(AQ4:AQ35))</f>
        <v/>
      </c>
      <c r="AO35" s="7" t="str">
        <f t="shared" si="6"/>
        <v>ナビ・</v>
      </c>
      <c r="AP35" s="1" t="str">
        <f>IF(ISERROR(INDEX(C4:C8,MATCH(H35,D4:D8,0))),"",INDEX(C4:C8,MATCH(H35,D4:D8,0)))</f>
        <v/>
      </c>
      <c r="AQ35" s="79" t="str">
        <f>IF(IF(COUNTIF(AQ4:AQ34,AQ32)&gt;=MAX(D4:D8),AQ32+3,AQ32)&gt;50,"",IF(COUNTIF(AQ4:AQ34,AQ32)&gt;=MAX(D4:D8),AQ32+3,AQ32))</f>
        <v/>
      </c>
      <c r="AR35" s="1" t="str">
        <f>IF(AQ35="","",VLOOKUP(AQ35,S4:U53,3,0))</f>
        <v/>
      </c>
      <c r="AS35" s="8" t="str">
        <f t="shared" si="7"/>
        <v/>
      </c>
      <c r="AU35" s="71" t="str">
        <f t="shared" si="8"/>
        <v/>
      </c>
      <c r="AV35" s="71" t="str">
        <f>IF(OR(COUNTBLANK(AY35)=1,ISERROR(AY35)),"",COUNT(AY4:AY35))</f>
        <v/>
      </c>
      <c r="AW35" s="7" t="str">
        <f t="shared" si="9"/>
        <v>ナビ・</v>
      </c>
      <c r="AX35" s="1" t="str">
        <f>IF(ISERROR(INDEX(C4:C8,MATCH(I35,D4:D8,0))),"",INDEX(C4:C8,MATCH(I35,D4:D8,0)))</f>
        <v/>
      </c>
      <c r="AY35" s="79" t="str">
        <f>IF(IF(COUNTIF(AY4:AY34,AY31)&gt;=MAX(D4:D8),AY31+4,AY31)&gt;50,"",IF(COUNTIF(AY4:AY34,AY31)&gt;=MAX(D4:D8),AY31+4,AY31))</f>
        <v/>
      </c>
      <c r="AZ35" s="76" t="str">
        <f>IF(AY35="","",VLOOKUP(AY35,S4:U53,3,0))</f>
        <v/>
      </c>
      <c r="BA35" s="8" t="str">
        <f t="shared" si="10"/>
        <v/>
      </c>
      <c r="BC35" s="71" t="str">
        <f t="shared" si="11"/>
        <v/>
      </c>
      <c r="BD35" s="71" t="str">
        <f>IF(OR(COUNTBLANK(BG35)=1,ISERROR(BG35)),"",COUNT(BG4:BG35))</f>
        <v/>
      </c>
      <c r="BE35" s="7" t="str">
        <f t="shared" si="12"/>
        <v>ナビ・</v>
      </c>
      <c r="BF35" s="1" t="str">
        <f>IF(ISERROR(INDEX(C4:C8,MATCH(J35,D4:D8,0))),"",INDEX(C4:C8,MATCH(J35,D4:D8,0)))</f>
        <v/>
      </c>
      <c r="BG35" s="79" t="str">
        <f>IF(IF(COUNTIF(BG4:BG34,BG30)&gt;=MAX(D4:D8),BG30+5,BG30)&gt;50,"",IF(COUNTIF(BG4:BG34,BG30)&gt;=MAX(D4:D8),BG30+5,BG30))</f>
        <v/>
      </c>
      <c r="BH35" s="76" t="str">
        <f>IF(BG35="","",VLOOKUP(BG35,S4:U53,3,0))</f>
        <v/>
      </c>
      <c r="BI35" s="8" t="str">
        <f t="shared" si="13"/>
        <v/>
      </c>
      <c r="BL35" s="115">
        <v>32</v>
      </c>
      <c r="BM35" s="112">
        <v>7</v>
      </c>
      <c r="BN35" s="112" t="s">
        <v>21</v>
      </c>
      <c r="BP35" s="71">
        <f>IF(BT35="","",BT35*10+2)</f>
        <v>522</v>
      </c>
      <c r="BQ35" s="71">
        <f>IF(OR(COUNTBLANK(BT35)=1,ISERROR(BT35)),"",COUNT(BT4:BT35))</f>
        <v>32</v>
      </c>
      <c r="BR35" s="7" t="str">
        <f t="shared" si="18"/>
        <v>ナビ・</v>
      </c>
      <c r="BS35" s="1" t="str">
        <f t="shared" si="19"/>
        <v/>
      </c>
      <c r="BT35" s="79">
        <f>IF(IF(COUNTIF($BT$4:BT34,BT34)&gt;=MAX($D$4:$D$8),BT34+1,BT34)&gt;55,"",IF(COUNTIF($BT$4:BT34,BT34)&gt;=MAX($D$4:$D$8),BT34+1,BT34))</f>
        <v>52</v>
      </c>
      <c r="BU35" s="1" t="str">
        <f t="shared" si="20"/>
        <v>p.54～p.55</v>
      </c>
      <c r="BV35" s="8" t="str">
        <f t="shared" si="21"/>
        <v/>
      </c>
      <c r="BX35" s="71">
        <f t="shared" si="22"/>
        <v>521</v>
      </c>
      <c r="BY35" s="71">
        <f>IF(OR(COUNTBLANK(CB35)=1,ISERROR(CB35)),"",COUNT($CB$4:CB35))</f>
        <v>32</v>
      </c>
      <c r="BZ35" s="7" t="str">
        <f t="shared" si="23"/>
        <v>ナビ・</v>
      </c>
      <c r="CA35" s="1" t="str">
        <f t="shared" si="24"/>
        <v/>
      </c>
      <c r="CB35" s="79">
        <f>IF(IF(COUNTIF($CB$4:CB34,CB33)&gt;=MAX($D$4:$D$8),CB33+2,CB33)&gt;55,"",IF(COUNTIF($CB$4:CB34,CB33)&gt;=MAX($D$4:$D$8),CB33+2,CB33))</f>
        <v>52</v>
      </c>
      <c r="CC35" s="1" t="str">
        <f t="shared" si="25"/>
        <v>p.54～p.55</v>
      </c>
      <c r="CD35" s="8" t="str">
        <f t="shared" si="26"/>
        <v/>
      </c>
      <c r="CF35" s="71">
        <f t="shared" si="61"/>
        <v>521</v>
      </c>
      <c r="CG35" s="71">
        <f>IF(OR(COUNTBLANK(CJ35)=1,ISERROR(CJ35)),"",COUNT($CJ$4:CJ35))</f>
        <v>32</v>
      </c>
      <c r="CH35" s="7" t="str">
        <f t="shared" si="62"/>
        <v>ナビ・</v>
      </c>
      <c r="CI35" s="1" t="str">
        <f t="shared" si="63"/>
        <v/>
      </c>
      <c r="CJ35" s="79">
        <f>IF(IF(COUNTIF($CJ$4:CJ34,CJ32)&gt;=MAX($D$4:$D$8),CJ32+3,CJ32)&gt;55,"",IF(COUNTIF($CJ$4:CJ34,CJ32)&gt;=MAX($D$4:$D$8),CJ32+3,CJ32))</f>
        <v>52</v>
      </c>
      <c r="CK35" s="1" t="str">
        <f t="shared" si="30"/>
        <v>p.54～p.55</v>
      </c>
      <c r="CL35" s="8" t="str">
        <f t="shared" si="64"/>
        <v/>
      </c>
      <c r="CN35" s="71">
        <f t="shared" si="51"/>
        <v>521</v>
      </c>
      <c r="CO35" s="71">
        <f>IF(OR(COUNTBLANK(CR35)=1,ISERROR(CR35)),"",COUNT($CR$4:CR35))</f>
        <v>32</v>
      </c>
      <c r="CP35" s="7" t="str">
        <f t="shared" si="52"/>
        <v>ナビ・</v>
      </c>
      <c r="CQ35" s="1" t="str">
        <f t="shared" si="53"/>
        <v/>
      </c>
      <c r="CR35" s="79">
        <f>IF(IF(COUNTIF($CR$4:CR34,CR31)&gt;=MAX($D$4:$D$8),CR31+4,CR31)&gt;55,"",IF(COUNTIF($CR$4:CR34,CR31)&gt;=MAX($D$4:$D$8),CR31+4,CR31))</f>
        <v>52</v>
      </c>
      <c r="CS35" s="1" t="str">
        <f t="shared" si="35"/>
        <v>p.54～p.55</v>
      </c>
      <c r="CT35" s="8" t="str">
        <f t="shared" si="54"/>
        <v/>
      </c>
      <c r="CV35" s="71">
        <f t="shared" si="65"/>
        <v>521</v>
      </c>
      <c r="CW35" s="71">
        <f>IF(OR(COUNTBLANK(CZ35)=1,ISERROR(CZ35)),"",COUNT($CZ$4:CZ35))</f>
        <v>32</v>
      </c>
      <c r="CX35" s="7" t="str">
        <f t="shared" si="66"/>
        <v>ナビ・</v>
      </c>
      <c r="CY35" s="1" t="str">
        <f t="shared" si="67"/>
        <v/>
      </c>
      <c r="CZ35" s="79">
        <f>IF(IF(COUNTIF($CZ$4:CZ34,CZ30)&gt;=MAX($D$4:$D$8),CZ30+5,CZ30)&gt;55,"",IF(COUNTIF($CZ$4:CZ34,CZ30)&gt;=MAX($D$4:$D$8),CZ30+5,CZ30))</f>
        <v>52</v>
      </c>
      <c r="DA35" s="1" t="str">
        <f t="shared" si="40"/>
        <v>p.54～p.55</v>
      </c>
      <c r="DB35" s="8" t="str">
        <f t="shared" si="68"/>
        <v/>
      </c>
    </row>
    <row r="36" spans="5:106" x14ac:dyDescent="0.15">
      <c r="E36" s="1">
        <v>33</v>
      </c>
      <c r="F36" s="1">
        <f t="shared" si="42"/>
        <v>1</v>
      </c>
      <c r="G36" s="1">
        <f t="shared" si="60"/>
        <v>1</v>
      </c>
      <c r="H36" s="1">
        <f t="shared" si="45"/>
        <v>1</v>
      </c>
      <c r="I36" s="1">
        <f t="shared" si="50"/>
        <v>1</v>
      </c>
      <c r="J36" s="1">
        <f t="shared" si="55"/>
        <v>1</v>
      </c>
      <c r="L36" s="1" t="str">
        <f>IF(ISERROR(HLOOKUP($C$10,$F$3:$J$253,34,0)),"",HLOOKUP($C$10,$F$3:$J$253,34,0))</f>
        <v/>
      </c>
      <c r="S36" s="9">
        <v>33</v>
      </c>
      <c r="T36" s="1">
        <v>13</v>
      </c>
      <c r="U36" s="1" t="s">
        <v>27</v>
      </c>
      <c r="W36" s="71" t="e">
        <f>IF(AA36="","",AA36*10+3)</f>
        <v>#VALUE!</v>
      </c>
      <c r="X36" s="71" t="str">
        <f>IF(OR(COUNTBLANK(AA36)=1,ISERROR(AA36)),"",COUNT(AA4:AA36))</f>
        <v/>
      </c>
      <c r="Y36" s="7" t="e">
        <f t="shared" si="0"/>
        <v>#VALUE!</v>
      </c>
      <c r="Z36" s="1" t="str">
        <f t="shared" si="17"/>
        <v/>
      </c>
      <c r="AA36" s="79" t="e">
        <f>IF(IF(COUNTIF(AA4:AA35,AA35)&gt;=MAX(D4:D8),AA35+1,AA35)&gt;50,"",IF(COUNTIF(AA4:AA35,AA35)&gt;=MAX(D4:D8),AA35+1,AA35))</f>
        <v>#VALUE!</v>
      </c>
      <c r="AB36" s="1" t="e">
        <f>IF(AA36="","",VLOOKUP(AA36,S4:U53,3,0))</f>
        <v>#VALUE!</v>
      </c>
      <c r="AC36" s="8" t="str">
        <f t="shared" si="1"/>
        <v/>
      </c>
      <c r="AE36" s="71" t="e">
        <f t="shared" si="2"/>
        <v>#VALUE!</v>
      </c>
      <c r="AF36" s="71" t="str">
        <f>IF(OR(COUNTBLANK(AI36)=1,ISERROR(AI36)),"",COUNT(AI4:AI36))</f>
        <v/>
      </c>
      <c r="AG36" s="7" t="e">
        <f t="shared" si="3"/>
        <v>#VALUE!</v>
      </c>
      <c r="AH36" s="1" t="str">
        <f>IF(ISERROR(INDEX(C4:C8,MATCH(G36,D4:D8,0))),"",INDEX(C4:C8,MATCH(G36,D4:D8,0)))</f>
        <v/>
      </c>
      <c r="AI36" s="79" t="e">
        <f>IF(IF(COUNTIF(AI4:AI35,AI34)&gt;=MAX(D4:D8),AI34+2,AI34)&gt;50,"",IF(COUNTIF(AI4:AI35,AI34)&gt;=MAX(D4:D8),AI34+2,AI34))</f>
        <v>#VALUE!</v>
      </c>
      <c r="AJ36" s="1" t="e">
        <f>IF(AI36="","",VLOOKUP(AI36,S4:U53,3,0))</f>
        <v>#VALUE!</v>
      </c>
      <c r="AK36" s="8" t="str">
        <f t="shared" si="4"/>
        <v/>
      </c>
      <c r="AM36" s="71" t="str">
        <f t="shared" si="5"/>
        <v/>
      </c>
      <c r="AN36" s="71" t="str">
        <f>IF(OR(COUNTBLANK(AQ36)=1,ISERROR(AQ36)),"",COUNT(AQ4:AQ36))</f>
        <v/>
      </c>
      <c r="AO36" s="7" t="str">
        <f t="shared" si="6"/>
        <v>ナビ・</v>
      </c>
      <c r="AP36" s="1" t="str">
        <f>IF(ISERROR(INDEX(C4:C8,MATCH(H36,D4:D8,0))),"",INDEX(C4:C8,MATCH(H36,D4:D8,0)))</f>
        <v/>
      </c>
      <c r="AQ36" s="79" t="str">
        <f>IF(IF(COUNTIF(AQ4:AQ35,AQ33)&gt;=MAX(D4:D8),AQ33+3,AQ33)&gt;50,"",IF(COUNTIF(AQ4:AQ35,AQ33)&gt;=MAX(D4:D8),AQ33+3,AQ33))</f>
        <v/>
      </c>
      <c r="AR36" s="1" t="str">
        <f>IF(AQ36="","",VLOOKUP(AQ36,S4:U53,3,0))</f>
        <v/>
      </c>
      <c r="AS36" s="8" t="str">
        <f t="shared" si="7"/>
        <v/>
      </c>
      <c r="AU36" s="71" t="str">
        <f t="shared" si="8"/>
        <v/>
      </c>
      <c r="AV36" s="71" t="str">
        <f>IF(OR(COUNTBLANK(AY36)=1,ISERROR(AY36)),"",COUNT(AY4:AY36))</f>
        <v/>
      </c>
      <c r="AW36" s="7" t="str">
        <f t="shared" si="9"/>
        <v>ナビ・</v>
      </c>
      <c r="AX36" s="1" t="str">
        <f>IF(ISERROR(INDEX(C4:C8,MATCH(I36,D4:D8,0))),"",INDEX(C4:C8,MATCH(I36,D4:D8,0)))</f>
        <v/>
      </c>
      <c r="AY36" s="79" t="str">
        <f>IF(IF(COUNTIF(AY4:AY35,AY32)&gt;=MAX(D4:D8),AY32+4,AY32)&gt;50,"",IF(COUNTIF(AY4:AY35,AY32)&gt;=MAX(D4:D8),AY32+4,AY32))</f>
        <v/>
      </c>
      <c r="AZ36" s="76" t="str">
        <f>IF(AY36="","",VLOOKUP(AY36,S4:U53,3,0))</f>
        <v/>
      </c>
      <c r="BA36" s="8" t="str">
        <f t="shared" si="10"/>
        <v/>
      </c>
      <c r="BC36" s="71" t="str">
        <f t="shared" si="11"/>
        <v/>
      </c>
      <c r="BD36" s="71" t="str">
        <f>IF(OR(COUNTBLANK(BG36)=1,ISERROR(BG36)),"",COUNT(BG4:BG36))</f>
        <v/>
      </c>
      <c r="BE36" s="7" t="str">
        <f t="shared" si="12"/>
        <v>ナビ・</v>
      </c>
      <c r="BF36" s="1" t="str">
        <f>IF(ISERROR(INDEX(C4:C8,MATCH(J36,D4:D8,0))),"",INDEX(C4:C8,MATCH(J36,D4:D8,0)))</f>
        <v/>
      </c>
      <c r="BG36" s="79" t="str">
        <f>IF(IF(COUNTIF(BG4:BG35,BG31)&gt;=MAX(D4:D8),BG31+5,BG31)&gt;50,"",IF(COUNTIF(BG4:BG35,BG31)&gt;=MAX(D4:D8),BG31+5,BG31))</f>
        <v/>
      </c>
      <c r="BH36" s="76" t="str">
        <f>IF(BG36="","",VLOOKUP(BG36,S4:U53,3,0))</f>
        <v/>
      </c>
      <c r="BI36" s="8" t="str">
        <f t="shared" si="13"/>
        <v/>
      </c>
      <c r="BL36" s="115">
        <v>33</v>
      </c>
      <c r="BM36" s="112">
        <v>8</v>
      </c>
      <c r="BN36" s="112" t="s">
        <v>22</v>
      </c>
      <c r="BP36" s="71">
        <f>IF(BT36="","",BT36*10+3)</f>
        <v>533</v>
      </c>
      <c r="BQ36" s="71">
        <f>IF(OR(COUNTBLANK(BT36)=1,ISERROR(BT36)),"",COUNT(BT4:BT36))</f>
        <v>33</v>
      </c>
      <c r="BR36" s="7" t="str">
        <f t="shared" si="18"/>
        <v>ナビ・</v>
      </c>
      <c r="BS36" s="1" t="str">
        <f t="shared" si="19"/>
        <v/>
      </c>
      <c r="BT36" s="79">
        <f>IF(IF(COUNTIF($BT$4:BT35,BT35)&gt;=MAX($D$4:$D$8),BT35+1,BT35)&gt;55,"",IF(COUNTIF($BT$4:BT35,BT35)&gt;=MAX($D$4:$D$8),BT35+1,BT35))</f>
        <v>53</v>
      </c>
      <c r="BU36" s="1" t="str">
        <f t="shared" si="20"/>
        <v>p.56～p.57</v>
      </c>
      <c r="BV36" s="8" t="str">
        <f t="shared" si="21"/>
        <v/>
      </c>
      <c r="BX36" s="71">
        <f t="shared" si="22"/>
        <v>531</v>
      </c>
      <c r="BY36" s="71">
        <f>IF(OR(COUNTBLANK(CB36)=1,ISERROR(CB36)),"",COUNT($CB$4:CB36))</f>
        <v>33</v>
      </c>
      <c r="BZ36" s="7" t="str">
        <f t="shared" si="23"/>
        <v>ナビ・</v>
      </c>
      <c r="CA36" s="1" t="str">
        <f t="shared" si="24"/>
        <v/>
      </c>
      <c r="CB36" s="79">
        <f>IF(IF(COUNTIF($CB$4:CB35,CB34)&gt;=MAX($D$4:$D$8),CB34+2,CB34)&gt;55,"",IF(COUNTIF($CB$4:CB35,CB34)&gt;=MAX($D$4:$D$8),CB34+2,CB34))</f>
        <v>53</v>
      </c>
      <c r="CC36" s="1" t="str">
        <f t="shared" si="25"/>
        <v>p.56～p.57</v>
      </c>
      <c r="CD36" s="8" t="str">
        <f t="shared" si="26"/>
        <v/>
      </c>
      <c r="CF36" s="71">
        <f t="shared" si="61"/>
        <v>531</v>
      </c>
      <c r="CG36" s="71">
        <f>IF(OR(COUNTBLANK(CJ36)=1,ISERROR(CJ36)),"",COUNT($CJ$4:CJ36))</f>
        <v>33</v>
      </c>
      <c r="CH36" s="7" t="str">
        <f t="shared" si="62"/>
        <v>ナビ・</v>
      </c>
      <c r="CI36" s="1" t="str">
        <f t="shared" si="63"/>
        <v/>
      </c>
      <c r="CJ36" s="79">
        <f>IF(IF(COUNTIF($CJ$4:CJ35,CJ33)&gt;=MAX($D$4:$D$8),CJ33+3,CJ33)&gt;55,"",IF(COUNTIF($CJ$4:CJ35,CJ33)&gt;=MAX($D$4:$D$8),CJ33+3,CJ33))</f>
        <v>53</v>
      </c>
      <c r="CK36" s="1" t="str">
        <f t="shared" si="30"/>
        <v>p.56～p.57</v>
      </c>
      <c r="CL36" s="8" t="str">
        <f t="shared" si="64"/>
        <v/>
      </c>
      <c r="CN36" s="71">
        <f t="shared" si="51"/>
        <v>531</v>
      </c>
      <c r="CO36" s="71">
        <f>IF(OR(COUNTBLANK(CR36)=1,ISERROR(CR36)),"",COUNT($CR$4:CR36))</f>
        <v>33</v>
      </c>
      <c r="CP36" s="7" t="str">
        <f t="shared" si="52"/>
        <v>ナビ・</v>
      </c>
      <c r="CQ36" s="1" t="str">
        <f t="shared" si="53"/>
        <v/>
      </c>
      <c r="CR36" s="79">
        <f>IF(IF(COUNTIF($CR$4:CR35,CR32)&gt;=MAX($D$4:$D$8),CR32+4,CR32)&gt;55,"",IF(COUNTIF($CR$4:CR35,CR32)&gt;=MAX($D$4:$D$8),CR32+4,CR32))</f>
        <v>53</v>
      </c>
      <c r="CS36" s="1" t="str">
        <f t="shared" si="35"/>
        <v>p.56～p.57</v>
      </c>
      <c r="CT36" s="8" t="str">
        <f t="shared" si="54"/>
        <v/>
      </c>
      <c r="CV36" s="71">
        <f t="shared" si="65"/>
        <v>531</v>
      </c>
      <c r="CW36" s="71">
        <f>IF(OR(COUNTBLANK(CZ36)=1,ISERROR(CZ36)),"",COUNT($CZ$4:CZ36))</f>
        <v>33</v>
      </c>
      <c r="CX36" s="7" t="str">
        <f t="shared" si="66"/>
        <v>ナビ・</v>
      </c>
      <c r="CY36" s="1" t="str">
        <f t="shared" si="67"/>
        <v/>
      </c>
      <c r="CZ36" s="79">
        <f>IF(IF(COUNTIF($CZ$4:CZ35,CZ31)&gt;=MAX($D$4:$D$8),CZ31+5,CZ31)&gt;55,"",IF(COUNTIF($CZ$4:CZ35,CZ31)&gt;=MAX($D$4:$D$8),CZ31+5,CZ31))</f>
        <v>53</v>
      </c>
      <c r="DA36" s="1" t="str">
        <f t="shared" si="40"/>
        <v>p.56～p.57</v>
      </c>
      <c r="DB36" s="8" t="str">
        <f t="shared" si="68"/>
        <v/>
      </c>
    </row>
    <row r="37" spans="5:106" x14ac:dyDescent="0.15">
      <c r="E37" s="1">
        <v>34</v>
      </c>
      <c r="F37" s="1">
        <f t="shared" si="42"/>
        <v>1</v>
      </c>
      <c r="G37" s="1">
        <f t="shared" si="60"/>
        <v>1</v>
      </c>
      <c r="H37" s="1">
        <f t="shared" si="45"/>
        <v>1</v>
      </c>
      <c r="I37" s="1">
        <f t="shared" si="50"/>
        <v>1</v>
      </c>
      <c r="J37" s="1">
        <f t="shared" si="55"/>
        <v>1</v>
      </c>
      <c r="L37" s="1" t="str">
        <f>IF(ISERROR(HLOOKUP($C$10,$F$3:$J$253,35,0)),"",HLOOKUP($C$10,$F$3:$J$253,35,0))</f>
        <v/>
      </c>
      <c r="S37" s="9">
        <v>34</v>
      </c>
      <c r="T37" s="1">
        <v>14</v>
      </c>
      <c r="U37" s="1" t="s">
        <v>28</v>
      </c>
      <c r="W37" s="71" t="e">
        <f>IF(AA37="","",AA37*10+4)</f>
        <v>#VALUE!</v>
      </c>
      <c r="X37" s="71" t="str">
        <f>IF(OR(COUNTBLANK(AA37)=1,ISERROR(AA37)),"",COUNT(AA4:AA37))</f>
        <v/>
      </c>
      <c r="Y37" s="7" t="e">
        <f t="shared" si="0"/>
        <v>#VALUE!</v>
      </c>
      <c r="Z37" s="1" t="str">
        <f t="shared" si="17"/>
        <v/>
      </c>
      <c r="AA37" s="79" t="e">
        <f>IF(IF(COUNTIF(AA4:AA36,AA36)&gt;=MAX(D4:D8),AA36+1,AA36)&gt;50,"",IF(COUNTIF(AA4:AA36,AA36)&gt;=MAX(D4:D8),AA36+1,AA36))</f>
        <v>#VALUE!</v>
      </c>
      <c r="AB37" s="1" t="e">
        <f>IF(AA37="","",VLOOKUP(AA37,S4:U53,3,0))</f>
        <v>#VALUE!</v>
      </c>
      <c r="AC37" s="8" t="str">
        <f t="shared" si="1"/>
        <v/>
      </c>
      <c r="AE37" s="71" t="e">
        <f t="shared" si="2"/>
        <v>#VALUE!</v>
      </c>
      <c r="AF37" s="71" t="str">
        <f>IF(OR(COUNTBLANK(AI37)=1,ISERROR(AI37)),"",COUNT(AI4:AI37))</f>
        <v/>
      </c>
      <c r="AG37" s="7" t="e">
        <f t="shared" si="3"/>
        <v>#VALUE!</v>
      </c>
      <c r="AH37" s="1" t="str">
        <f>IF(ISERROR(INDEX(C4:C8,MATCH(G37,D4:D8,0))),"",INDEX(C4:C8,MATCH(G37,D4:D8,0)))</f>
        <v/>
      </c>
      <c r="AI37" s="79" t="e">
        <f>IF(IF(COUNTIF(AI4:AI35,AI35)&gt;=MAX(D4:D8),AI35+2,AI35)&gt;50,"",IF(COUNTIF(AI4:AI35,AI35)&gt;=MAX(D4:D8),AI35+2,AI35))</f>
        <v>#VALUE!</v>
      </c>
      <c r="AJ37" s="1" t="e">
        <f>IF(AI37="","",VLOOKUP(AI37,S4:U53,3,0))</f>
        <v>#VALUE!</v>
      </c>
      <c r="AK37" s="8" t="str">
        <f t="shared" si="4"/>
        <v/>
      </c>
      <c r="AM37" s="71" t="e">
        <f t="shared" si="5"/>
        <v>#VALUE!</v>
      </c>
      <c r="AN37" s="71" t="str">
        <f>IF(OR(COUNTBLANK(AQ37)=1,ISERROR(AQ37)),"",COUNT(AQ4:AQ37))</f>
        <v/>
      </c>
      <c r="AO37" s="7" t="e">
        <f t="shared" si="6"/>
        <v>#VALUE!</v>
      </c>
      <c r="AP37" s="1" t="str">
        <f>IF(ISERROR(INDEX(C4:C8,MATCH(H37,D4:D8,0))),"",INDEX(C4:C8,MATCH(H37,D4:D8,0)))</f>
        <v/>
      </c>
      <c r="AQ37" s="79" t="e">
        <f>IF(IF(COUNTIF(AQ4:AQ36,AQ34)&gt;=MAX(D4:D8),AQ34+3,AQ34)&gt;50,"",IF(COUNTIF(AQ4:AQ36,AQ34)&gt;=MAX(D4:D8),AQ34+3,AQ34))</f>
        <v>#VALUE!</v>
      </c>
      <c r="AR37" s="1" t="e">
        <f>IF(AQ37="","",VLOOKUP(AQ37,S4:U53,3,0))</f>
        <v>#VALUE!</v>
      </c>
      <c r="AS37" s="8" t="str">
        <f t="shared" si="7"/>
        <v/>
      </c>
      <c r="AU37" s="71" t="str">
        <f t="shared" si="8"/>
        <v/>
      </c>
      <c r="AV37" s="71" t="str">
        <f>IF(OR(COUNTBLANK(AY37)=1,ISERROR(AY37)),"",COUNT(AY4:AY37))</f>
        <v/>
      </c>
      <c r="AW37" s="7" t="str">
        <f t="shared" si="9"/>
        <v>ナビ・</v>
      </c>
      <c r="AX37" s="1" t="str">
        <f>IF(ISERROR(INDEX(C4:C8,MATCH(I37,D4:D8,0))),"",INDEX(C4:C8,MATCH(I37,D4:D8,0)))</f>
        <v/>
      </c>
      <c r="AY37" s="79" t="str">
        <f>IF(IF(COUNTIF(AY4:AY36,AY33)&gt;=MAX(D4:D8),AY33+4,AY33)&gt;50,"",IF(COUNTIF(AY4:AY36,AY33)&gt;=MAX(D4:D8),AY33+4,AY33))</f>
        <v/>
      </c>
      <c r="AZ37" s="76" t="str">
        <f>IF(AY37="","",VLOOKUP(AY37,S4:U53,3,0))</f>
        <v/>
      </c>
      <c r="BA37" s="8" t="str">
        <f t="shared" si="10"/>
        <v/>
      </c>
      <c r="BC37" s="71" t="str">
        <f t="shared" si="11"/>
        <v/>
      </c>
      <c r="BD37" s="71" t="str">
        <f>IF(OR(COUNTBLANK(BG37)=1,ISERROR(BG37)),"",COUNT(BG4:BG37))</f>
        <v/>
      </c>
      <c r="BE37" s="7" t="str">
        <f t="shared" si="12"/>
        <v>ナビ・</v>
      </c>
      <c r="BF37" s="1" t="str">
        <f>IF(ISERROR(INDEX(C4:C8,MATCH(J37,D4:D8,0))),"",INDEX(C4:C8,MATCH(J37,D4:D8,0)))</f>
        <v/>
      </c>
      <c r="BG37" s="79" t="str">
        <f>IF(IF(COUNTIF(BG4:BG36,BG32)&gt;=MAX(D4:D8),BG32+5,BG32)&gt;50,"",IF(COUNTIF(BG4:BG36,BG32)&gt;=MAX(D4:D8),BG32+5,BG32))</f>
        <v/>
      </c>
      <c r="BH37" s="76" t="str">
        <f>IF(BG37="","",VLOOKUP(BG37,S4:U53,3,0))</f>
        <v/>
      </c>
      <c r="BI37" s="8" t="str">
        <f t="shared" si="13"/>
        <v/>
      </c>
      <c r="BL37" s="115">
        <v>34</v>
      </c>
      <c r="BM37" s="112">
        <v>9</v>
      </c>
      <c r="BN37" s="112" t="s">
        <v>23</v>
      </c>
      <c r="BP37" s="71">
        <f>IF(BT37="","",BT37*10+4)</f>
        <v>544</v>
      </c>
      <c r="BQ37" s="71">
        <f>IF(OR(COUNTBLANK(BT37)=1,ISERROR(BT37)),"",COUNT(BT4:BT37))</f>
        <v>34</v>
      </c>
      <c r="BR37" s="7" t="str">
        <f t="shared" si="18"/>
        <v>ナビ・</v>
      </c>
      <c r="BS37" s="1" t="str">
        <f t="shared" si="19"/>
        <v/>
      </c>
      <c r="BT37" s="79">
        <f>IF(IF(COUNTIF($BT$4:BT36,BT36)&gt;=MAX($D$4:$D$8),BT36+1,BT36)&gt;55,"",IF(COUNTIF($BT$4:BT36,BT36)&gt;=MAX($D$4:$D$8),BT36+1,BT36))</f>
        <v>54</v>
      </c>
      <c r="BU37" s="1" t="str">
        <f t="shared" si="20"/>
        <v>p.58～p.59</v>
      </c>
      <c r="BV37" s="8" t="str">
        <f t="shared" si="21"/>
        <v/>
      </c>
      <c r="BX37" s="71">
        <f t="shared" si="22"/>
        <v>541</v>
      </c>
      <c r="BY37" s="71">
        <f>IF(OR(COUNTBLANK(CB37)=1,ISERROR(CB37)),"",COUNT($CB$4:CB37))</f>
        <v>34</v>
      </c>
      <c r="BZ37" s="7" t="str">
        <f t="shared" si="23"/>
        <v>ナビ・</v>
      </c>
      <c r="CA37" s="1" t="str">
        <f t="shared" si="24"/>
        <v/>
      </c>
      <c r="CB37" s="79">
        <f>IF(IF(COUNTIF($CB$4:CB36,CB35)&gt;=MAX($D$4:$D$8),CB35+2,CB35)&gt;55,"",IF(COUNTIF($CB$4:CB36,CB35)&gt;=MAX($D$4:$D$8),CB35+2,CB35))</f>
        <v>54</v>
      </c>
      <c r="CC37" s="1" t="str">
        <f t="shared" si="25"/>
        <v>p.58～p.59</v>
      </c>
      <c r="CD37" s="8" t="str">
        <f t="shared" si="26"/>
        <v/>
      </c>
      <c r="CF37" s="71">
        <f t="shared" si="61"/>
        <v>541</v>
      </c>
      <c r="CG37" s="71">
        <f>IF(OR(COUNTBLANK(CJ37)=1,ISERROR(CJ37)),"",COUNT($CJ$4:CJ37))</f>
        <v>34</v>
      </c>
      <c r="CH37" s="7" t="str">
        <f t="shared" si="62"/>
        <v>ナビ・</v>
      </c>
      <c r="CI37" s="1" t="str">
        <f t="shared" si="63"/>
        <v/>
      </c>
      <c r="CJ37" s="79">
        <f>IF(IF(COUNTIF($CJ$4:CJ36,CJ34)&gt;=MAX($D$4:$D$8),CJ34+3,CJ34)&gt;55,"",IF(COUNTIF($CJ$4:CJ36,CJ34)&gt;=MAX($D$4:$D$8),CJ34+3,CJ34))</f>
        <v>54</v>
      </c>
      <c r="CK37" s="1" t="str">
        <f t="shared" si="30"/>
        <v>p.58～p.59</v>
      </c>
      <c r="CL37" s="8" t="str">
        <f t="shared" si="64"/>
        <v/>
      </c>
      <c r="CN37" s="71">
        <f t="shared" si="51"/>
        <v>541</v>
      </c>
      <c r="CO37" s="71">
        <f>IF(OR(COUNTBLANK(CR37)=1,ISERROR(CR37)),"",COUNT($CR$4:CR37))</f>
        <v>34</v>
      </c>
      <c r="CP37" s="7" t="str">
        <f t="shared" si="52"/>
        <v>ナビ・</v>
      </c>
      <c r="CQ37" s="1" t="str">
        <f t="shared" si="53"/>
        <v/>
      </c>
      <c r="CR37" s="79">
        <f>IF(IF(COUNTIF($CR$4:CR36,CR33)&gt;=MAX($D$4:$D$8),CR33+4,CR33)&gt;55,"",IF(COUNTIF($CR$4:CR36,CR33)&gt;=MAX($D$4:$D$8),CR33+4,CR33))</f>
        <v>54</v>
      </c>
      <c r="CS37" s="1" t="str">
        <f t="shared" si="35"/>
        <v>p.58～p.59</v>
      </c>
      <c r="CT37" s="8" t="str">
        <f t="shared" si="54"/>
        <v/>
      </c>
      <c r="CV37" s="71">
        <f t="shared" si="65"/>
        <v>541</v>
      </c>
      <c r="CW37" s="71">
        <f>IF(OR(COUNTBLANK(CZ37)=1,ISERROR(CZ37)),"",COUNT($CZ$4:CZ37))</f>
        <v>34</v>
      </c>
      <c r="CX37" s="7" t="str">
        <f t="shared" si="66"/>
        <v>ナビ・</v>
      </c>
      <c r="CY37" s="1" t="str">
        <f t="shared" si="67"/>
        <v/>
      </c>
      <c r="CZ37" s="79">
        <f>IF(IF(COUNTIF($CZ$4:CZ36,CZ32)&gt;=MAX($D$4:$D$8),CZ32+5,CZ32)&gt;55,"",IF(COUNTIF($CZ$4:CZ36,CZ32)&gt;=MAX($D$4:$D$8),CZ32+5,CZ32))</f>
        <v>54</v>
      </c>
      <c r="DA37" s="1" t="str">
        <f t="shared" si="40"/>
        <v>p.58～p.59</v>
      </c>
      <c r="DB37" s="8" t="str">
        <f t="shared" si="68"/>
        <v/>
      </c>
    </row>
    <row r="38" spans="5:106" x14ac:dyDescent="0.15">
      <c r="E38" s="1">
        <v>35</v>
      </c>
      <c r="F38" s="1">
        <f t="shared" si="42"/>
        <v>1</v>
      </c>
      <c r="G38" s="1">
        <f t="shared" si="60"/>
        <v>1</v>
      </c>
      <c r="H38" s="1">
        <f t="shared" si="45"/>
        <v>1</v>
      </c>
      <c r="I38" s="1">
        <f t="shared" si="50"/>
        <v>1</v>
      </c>
      <c r="J38" s="1">
        <f t="shared" si="55"/>
        <v>1</v>
      </c>
      <c r="L38" s="1" t="str">
        <f>IF(ISERROR(HLOOKUP($C$10,$F$3:$J$253,36,0)),"",HLOOKUP($C$10,$F$3:$J$253,36,0))</f>
        <v/>
      </c>
      <c r="S38" s="9">
        <v>35</v>
      </c>
      <c r="T38" s="1">
        <v>15</v>
      </c>
      <c r="U38" s="1" t="s">
        <v>29</v>
      </c>
      <c r="W38" s="71" t="e">
        <f>IF(AA38="","",AA38*10+5)</f>
        <v>#VALUE!</v>
      </c>
      <c r="X38" s="71" t="str">
        <f>IF(OR(COUNTBLANK(AA38)=1,ISERROR(AA38)),"",COUNT(AA4:AA38))</f>
        <v/>
      </c>
      <c r="Y38" s="7" t="e">
        <f t="shared" si="0"/>
        <v>#VALUE!</v>
      </c>
      <c r="Z38" s="1" t="str">
        <f t="shared" si="17"/>
        <v/>
      </c>
      <c r="AA38" s="79" t="e">
        <f>IF(IF(COUNTIF(AA4:AA37,AA37)&gt;=MAX(D4:D8),AA37+1,AA37)&gt;50,"",IF(COUNTIF(AA4:AA37,AA37)&gt;=MAX(D4:D8),AA37+1,AA37))</f>
        <v>#VALUE!</v>
      </c>
      <c r="AB38" s="1" t="e">
        <f>IF(AA38="","",VLOOKUP(AA38,S4:U53,3,0))</f>
        <v>#VALUE!</v>
      </c>
      <c r="AC38" s="8" t="str">
        <f t="shared" si="1"/>
        <v/>
      </c>
      <c r="AE38" s="71" t="e">
        <f t="shared" si="2"/>
        <v>#VALUE!</v>
      </c>
      <c r="AF38" s="71" t="str">
        <f>IF(OR(COUNTBLANK(AI38)=1,ISERROR(AI38)),"",COUNT(AI4:AI38))</f>
        <v/>
      </c>
      <c r="AG38" s="7" t="e">
        <f t="shared" si="3"/>
        <v>#VALUE!</v>
      </c>
      <c r="AH38" s="1" t="str">
        <f>IF(ISERROR(INDEX(C4:C8,MATCH(G38,D4:D8,0))),"",INDEX(C4:C8,MATCH(G38,D4:D8,0)))</f>
        <v/>
      </c>
      <c r="AI38" s="79" t="e">
        <f>IF(IF(COUNTIF(AI4:AI37,AI36)&gt;=MAX(D4:D8),AI36+2,AI36)&gt;50,"",IF(COUNTIF(AI4:AI37,AI36)&gt;=MAX(D4:D8),AI36+2,AI36))</f>
        <v>#VALUE!</v>
      </c>
      <c r="AJ38" s="1" t="e">
        <f>IF(AI38="","",VLOOKUP(AI38,S4:U53,3,0))</f>
        <v>#VALUE!</v>
      </c>
      <c r="AK38" s="8" t="str">
        <f t="shared" si="4"/>
        <v/>
      </c>
      <c r="AM38" s="71" t="e">
        <f t="shared" si="5"/>
        <v>#VALUE!</v>
      </c>
      <c r="AN38" s="71" t="str">
        <f>IF(OR(COUNTBLANK(AQ38)=1,ISERROR(AQ38)),"",COUNT(AQ4:AQ38))</f>
        <v/>
      </c>
      <c r="AO38" s="7" t="e">
        <f t="shared" si="6"/>
        <v>#VALUE!</v>
      </c>
      <c r="AP38" s="1" t="str">
        <f>IF(ISERROR(INDEX(C4:C8,MATCH(H38,D4:D8,0))),"",INDEX(C4:C8,MATCH(H38,D4:D8,0)))</f>
        <v/>
      </c>
      <c r="AQ38" s="79" t="e">
        <f>IF(IF(COUNTIF(AQ4:AQ37,AQ35)&gt;=MAX(D4:D8),AQ35+3,AQ35)&gt;50,"",IF(COUNTIF(AQ4:AQ37,AQ35)&gt;=MAX(D4:D8),AQ35+3,AQ35))</f>
        <v>#VALUE!</v>
      </c>
      <c r="AR38" s="1" t="e">
        <f>IF(AQ38="","",VLOOKUP(AQ38,S4:U53,3,0))</f>
        <v>#VALUE!</v>
      </c>
      <c r="AS38" s="8" t="str">
        <f t="shared" si="7"/>
        <v/>
      </c>
      <c r="AU38" s="71" t="e">
        <f t="shared" si="8"/>
        <v>#VALUE!</v>
      </c>
      <c r="AV38" s="71" t="str">
        <f>IF(OR(COUNTBLANK(AY38)=1,ISERROR(AY38)),"",COUNT(AY4:AY38))</f>
        <v/>
      </c>
      <c r="AW38" s="7" t="e">
        <f t="shared" si="9"/>
        <v>#VALUE!</v>
      </c>
      <c r="AX38" s="1" t="str">
        <f>IF(ISERROR(INDEX(C4:C8,MATCH(I38,D4:D8,0))),"",INDEX(C4:C8,MATCH(I38,D4:D8,0)))</f>
        <v/>
      </c>
      <c r="AY38" s="79" t="e">
        <f>IF(IF(COUNTIF(AY4:AY37,AY34)&gt;=MAX(D4:D8),AY34+4,AY34)&gt;50,"",IF(COUNTIF(AY4:AY37,AY34)&gt;=MAX(D4:D8),AY34+4,AY34))</f>
        <v>#VALUE!</v>
      </c>
      <c r="AZ38" s="76" t="e">
        <f>IF(AY38="","",VLOOKUP(AY38,S4:U53,3,0))</f>
        <v>#VALUE!</v>
      </c>
      <c r="BA38" s="8" t="str">
        <f t="shared" si="10"/>
        <v/>
      </c>
      <c r="BC38" s="71" t="str">
        <f t="shared" si="11"/>
        <v/>
      </c>
      <c r="BD38" s="71" t="str">
        <f>IF(OR(COUNTBLANK(BG38)=1,ISERROR(BG38)),"",COUNT(BG4:BG38))</f>
        <v/>
      </c>
      <c r="BE38" s="7" t="str">
        <f t="shared" si="12"/>
        <v>ナビ・</v>
      </c>
      <c r="BF38" s="1" t="str">
        <f>IF(ISERROR(INDEX(C4:C8,MATCH(J38,D4:D8,0))),"",INDEX(C4:C8,MATCH(J38,D4:D8,0)))</f>
        <v/>
      </c>
      <c r="BG38" s="79" t="str">
        <f>IF(IF(COUNTIF(BG4:BG37,BG33)&gt;=MAX(D4:D8),BG33+5,BG33)&gt;50,"",IF(COUNTIF(BG4:BG37,BG33)&gt;=MAX(D4:D8),BG33+5,BG33))</f>
        <v/>
      </c>
      <c r="BH38" s="76" t="str">
        <f>IF(BG38="","",VLOOKUP(BG38,S4:U53,3,0))</f>
        <v/>
      </c>
      <c r="BI38" s="8" t="str">
        <f t="shared" si="13"/>
        <v/>
      </c>
      <c r="BL38" s="115">
        <v>35</v>
      </c>
      <c r="BM38" s="112">
        <v>10</v>
      </c>
      <c r="BN38" s="112" t="s">
        <v>24</v>
      </c>
      <c r="BP38" s="71">
        <f>IF(BT38="","",BT38*10+5)</f>
        <v>555</v>
      </c>
      <c r="BQ38" s="71">
        <f>IF(OR(COUNTBLANK(BT38)=1,ISERROR(BT38)),"",COUNT(BT4:BT38))</f>
        <v>35</v>
      </c>
      <c r="BR38" s="7" t="str">
        <f t="shared" si="18"/>
        <v>ナビ・</v>
      </c>
      <c r="BS38" s="1" t="str">
        <f t="shared" si="19"/>
        <v/>
      </c>
      <c r="BT38" s="79">
        <f>IF(IF(COUNTIF($BT$4:BT37,BT37)&gt;=MAX($D$4:$D$8),BT37+1,BT37)&gt;55,"",IF(COUNTIF($BT$4:BT37,BT37)&gt;=MAX($D$4:$D$8),BT37+1,BT37))</f>
        <v>55</v>
      </c>
      <c r="BU38" s="1" t="str">
        <f t="shared" si="20"/>
        <v>p.60～p.61</v>
      </c>
      <c r="BV38" s="8" t="str">
        <f t="shared" si="21"/>
        <v/>
      </c>
      <c r="BX38" s="71">
        <f t="shared" si="22"/>
        <v>551</v>
      </c>
      <c r="BY38" s="71">
        <f>IF(OR(COUNTBLANK(CB38)=1,ISERROR(CB38)),"",COUNT($CB$4:CB38))</f>
        <v>35</v>
      </c>
      <c r="BZ38" s="7" t="str">
        <f t="shared" si="23"/>
        <v>ナビ・</v>
      </c>
      <c r="CA38" s="1" t="str">
        <f t="shared" si="24"/>
        <v/>
      </c>
      <c r="CB38" s="79">
        <f>IF(IF(COUNTIF($CB$4:CB37,CB36)&gt;=MAX($D$4:$D$8),CB36+2,CB36)&gt;55,"",IF(COUNTIF($CB$4:CB37,CB36)&gt;=MAX($D$4:$D$8),CB36+2,CB36))</f>
        <v>55</v>
      </c>
      <c r="CC38" s="1" t="str">
        <f t="shared" si="25"/>
        <v>p.60～p.61</v>
      </c>
      <c r="CD38" s="8" t="str">
        <f t="shared" si="26"/>
        <v/>
      </c>
      <c r="CF38" s="71">
        <f t="shared" si="61"/>
        <v>551</v>
      </c>
      <c r="CG38" s="71">
        <f>IF(OR(COUNTBLANK(CJ38)=1,ISERROR(CJ38)),"",COUNT($CJ$4:CJ38))</f>
        <v>35</v>
      </c>
      <c r="CH38" s="7" t="str">
        <f t="shared" si="62"/>
        <v>ナビ・</v>
      </c>
      <c r="CI38" s="1" t="str">
        <f t="shared" si="63"/>
        <v/>
      </c>
      <c r="CJ38" s="79">
        <f>IF(IF(COUNTIF($CJ$4:CJ37,CJ35)&gt;=MAX($D$4:$D$8),CJ35+3,CJ35)&gt;55,"",IF(COUNTIF($CJ$4:CJ37,CJ35)&gt;=MAX($D$4:$D$8),CJ35+3,CJ35))</f>
        <v>55</v>
      </c>
      <c r="CK38" s="1" t="str">
        <f t="shared" si="30"/>
        <v>p.60～p.61</v>
      </c>
      <c r="CL38" s="8" t="str">
        <f t="shared" si="64"/>
        <v/>
      </c>
      <c r="CN38" s="71">
        <f t="shared" si="51"/>
        <v>551</v>
      </c>
      <c r="CO38" s="71">
        <f>IF(OR(COUNTBLANK(CR38)=1,ISERROR(CR38)),"",COUNT($CR$4:CR38))</f>
        <v>35</v>
      </c>
      <c r="CP38" s="7" t="str">
        <f t="shared" si="52"/>
        <v>ナビ・</v>
      </c>
      <c r="CQ38" s="1" t="str">
        <f t="shared" si="53"/>
        <v/>
      </c>
      <c r="CR38" s="79">
        <f>IF(IF(COUNTIF($CR$4:CR37,CR34)&gt;=MAX($D$4:$D$8),CR34+4,CR34)&gt;55,"",IF(COUNTIF($CR$4:CR37,CR34)&gt;=MAX($D$4:$D$8),CR34+4,CR34))</f>
        <v>55</v>
      </c>
      <c r="CS38" s="1" t="str">
        <f t="shared" si="35"/>
        <v>p.60～p.61</v>
      </c>
      <c r="CT38" s="8" t="str">
        <f t="shared" si="54"/>
        <v/>
      </c>
      <c r="CV38" s="71">
        <f t="shared" si="65"/>
        <v>551</v>
      </c>
      <c r="CW38" s="71">
        <f>IF(OR(COUNTBLANK(CZ38)=1,ISERROR(CZ38)),"",COUNT($CZ$4:CZ38))</f>
        <v>35</v>
      </c>
      <c r="CX38" s="7" t="str">
        <f t="shared" si="66"/>
        <v>ナビ・</v>
      </c>
      <c r="CY38" s="1" t="str">
        <f t="shared" si="67"/>
        <v/>
      </c>
      <c r="CZ38" s="79">
        <f>IF(IF(COUNTIF($CZ$4:CZ37,CZ33)&gt;=MAX($D$4:$D$8),CZ33+5,CZ33)&gt;55,"",IF(COUNTIF($CZ$4:CZ37,CZ33)&gt;=MAX($D$4:$D$8),CZ33+5,CZ33))</f>
        <v>55</v>
      </c>
      <c r="DA38" s="1" t="str">
        <f t="shared" si="40"/>
        <v>p.60～p.61</v>
      </c>
      <c r="DB38" s="8" t="str">
        <f t="shared" si="68"/>
        <v/>
      </c>
    </row>
    <row r="39" spans="5:106" x14ac:dyDescent="0.15">
      <c r="E39" s="1">
        <v>36</v>
      </c>
      <c r="F39" s="1">
        <f t="shared" si="42"/>
        <v>1</v>
      </c>
      <c r="G39" s="1">
        <f t="shared" si="60"/>
        <v>1</v>
      </c>
      <c r="H39" s="1">
        <f t="shared" si="45"/>
        <v>1</v>
      </c>
      <c r="I39" s="1">
        <f t="shared" si="50"/>
        <v>1</v>
      </c>
      <c r="J39" s="1">
        <f t="shared" si="55"/>
        <v>1</v>
      </c>
      <c r="L39" s="1" t="str">
        <f>IF(ISERROR(HLOOKUP($C$10,$F$3:$J$253,37,0)),"",HLOOKUP($C$10,$F$3:$J$253,37,0))</f>
        <v/>
      </c>
      <c r="S39" s="9">
        <v>36</v>
      </c>
      <c r="T39" s="1">
        <v>16</v>
      </c>
      <c r="U39" s="1" t="s">
        <v>30</v>
      </c>
      <c r="W39" s="71" t="e">
        <f>IF(AA39="","",AA39*10+1)</f>
        <v>#VALUE!</v>
      </c>
      <c r="X39" s="71" t="str">
        <f>IF(OR(COUNTBLANK(AA39)=1,ISERROR(AA39)),"",COUNT(AA4:AA39))</f>
        <v/>
      </c>
      <c r="Y39" s="7" t="e">
        <f t="shared" si="0"/>
        <v>#VALUE!</v>
      </c>
      <c r="Z39" s="1" t="str">
        <f t="shared" si="17"/>
        <v/>
      </c>
      <c r="AA39" s="79" t="e">
        <f>IF(IF(COUNTIF(AA4:AA38,AA38)&gt;=MAX(D4:D8),AA38+1,AA38)&gt;50,"",IF(COUNTIF(AA4:AA38,AA38)&gt;=MAX(D4:D8),AA38+1,AA38))</f>
        <v>#VALUE!</v>
      </c>
      <c r="AB39" s="1" t="e">
        <f>IF(AA39="","",VLOOKUP(AA39,S4:U53,3,0))</f>
        <v>#VALUE!</v>
      </c>
      <c r="AC39" s="8" t="str">
        <f t="shared" si="1"/>
        <v/>
      </c>
      <c r="AE39" s="71" t="e">
        <f t="shared" si="2"/>
        <v>#VALUE!</v>
      </c>
      <c r="AF39" s="71" t="str">
        <f>IF(OR(COUNTBLANK(AI39)=1,ISERROR(AI39)),"",COUNT(AI4:AI39))</f>
        <v/>
      </c>
      <c r="AG39" s="7" t="e">
        <f t="shared" si="3"/>
        <v>#VALUE!</v>
      </c>
      <c r="AH39" s="1" t="str">
        <f>IF(ISERROR(INDEX(C4:C8,MATCH(G39,D4:D8,0))),"",INDEX(C4:C8,MATCH(G39,D4:D8,0)))</f>
        <v/>
      </c>
      <c r="AI39" s="79" t="e">
        <f>IF(IF(COUNTIF(AI4:AI37,AI37)&gt;=MAX(D4:D8),AI37+2,AI37)&gt;50,"",IF(COUNTIF(AI4:AI37,AI37)&gt;=MAX(D4:D8),AI37+2,AI37))</f>
        <v>#VALUE!</v>
      </c>
      <c r="AJ39" s="1" t="e">
        <f>IF(AI39="","",VLOOKUP(AI39,S4:U53,3,0))</f>
        <v>#VALUE!</v>
      </c>
      <c r="AK39" s="8" t="str">
        <f t="shared" si="4"/>
        <v/>
      </c>
      <c r="AM39" s="71" t="e">
        <f t="shared" si="5"/>
        <v>#VALUE!</v>
      </c>
      <c r="AN39" s="71" t="str">
        <f>IF(OR(COUNTBLANK(AQ39)=1,ISERROR(AQ39)),"",COUNT(AQ4:AQ39))</f>
        <v/>
      </c>
      <c r="AO39" s="7" t="e">
        <f t="shared" si="6"/>
        <v>#VALUE!</v>
      </c>
      <c r="AP39" s="1" t="str">
        <f>IF(ISERROR(INDEX(C4:C8,MATCH(H39,D4:D8,0))),"",INDEX(C4:C8,MATCH(H39,D4:D8,0)))</f>
        <v/>
      </c>
      <c r="AQ39" s="79" t="e">
        <f>IF(IF(COUNTIF(AQ4:AQ38,AQ36)&gt;=MAX(D4:D8),AQ36+3,AQ36)&gt;50,"",IF(COUNTIF(AQ4:AQ38,AQ36)&gt;=MAX(D4:D8),AQ36+3,AQ36))</f>
        <v>#VALUE!</v>
      </c>
      <c r="AR39" s="1" t="e">
        <f>IF(AQ39="","",VLOOKUP(AQ39,S4:U53,3,0))</f>
        <v>#VALUE!</v>
      </c>
      <c r="AS39" s="8" t="str">
        <f t="shared" si="7"/>
        <v/>
      </c>
      <c r="AU39" s="71" t="e">
        <f t="shared" si="8"/>
        <v>#VALUE!</v>
      </c>
      <c r="AV39" s="71" t="str">
        <f>IF(OR(COUNTBLANK(AY39)=1,ISERROR(AY39)),"",COUNT(AY4:AY39))</f>
        <v/>
      </c>
      <c r="AW39" s="7" t="e">
        <f t="shared" si="9"/>
        <v>#VALUE!</v>
      </c>
      <c r="AX39" s="1" t="str">
        <f>IF(ISERROR(INDEX(C4:C8,MATCH(I39,D4:D8,0))),"",INDEX(C4:C8,MATCH(I39,D4:D8,0)))</f>
        <v/>
      </c>
      <c r="AY39" s="79" t="e">
        <f>IF(IF(COUNTIF(AY4:AY38,AY35)&gt;=MAX(D4:D8),AY35+4,AY35)&gt;50,"",IF(COUNTIF(AY4:AY38,AY35)&gt;=MAX(D4:D8),AY35+4,AY35))</f>
        <v>#VALUE!</v>
      </c>
      <c r="AZ39" s="76" t="e">
        <f>IF(AY39="","",VLOOKUP(AY39,S4:U53,3,0))</f>
        <v>#VALUE!</v>
      </c>
      <c r="BA39" s="8" t="str">
        <f t="shared" si="10"/>
        <v/>
      </c>
      <c r="BC39" s="71" t="e">
        <f t="shared" si="11"/>
        <v>#VALUE!</v>
      </c>
      <c r="BD39" s="71" t="str">
        <f>IF(OR(COUNTBLANK(BG39)=1,ISERROR(BG39)),"",COUNT(BG4:BG39))</f>
        <v/>
      </c>
      <c r="BE39" s="7" t="e">
        <f t="shared" si="12"/>
        <v>#VALUE!</v>
      </c>
      <c r="BF39" s="1" t="str">
        <f>IF(ISERROR(INDEX(C4:C8,MATCH(J39,D4:D8,0))),"",INDEX(C4:C8,MATCH(J39,D4:D8,0)))</f>
        <v/>
      </c>
      <c r="BG39" s="79" t="e">
        <f>IF(IF(COUNTIF(BG4:BG38,BG34)&gt;=MAX(D4:D8),BG34+5,BG34)&gt;50,"",IF(COUNTIF(BG4:BG38,BG34)&gt;=MAX(D4:D8),BG34+5,BG34))</f>
        <v>#VALUE!</v>
      </c>
      <c r="BH39" s="76" t="e">
        <f>IF(BG39="","",VLOOKUP(BG39,S4:U53,3,0))</f>
        <v>#VALUE!</v>
      </c>
      <c r="BI39" s="8" t="str">
        <f t="shared" si="13"/>
        <v/>
      </c>
      <c r="BL39" s="115">
        <v>36</v>
      </c>
      <c r="BM39" s="112">
        <v>11</v>
      </c>
      <c r="BN39" s="112" t="s">
        <v>25</v>
      </c>
      <c r="BP39" s="71" t="str">
        <f>IF(BT39="","",BT39*10+1)</f>
        <v/>
      </c>
      <c r="BQ39" s="71" t="str">
        <f>IF(OR(COUNTBLANK(BT39)=1,ISERROR(BT39)),"",COUNT(BT4:BT39))</f>
        <v/>
      </c>
      <c r="BR39" s="7" t="str">
        <f t="shared" si="18"/>
        <v>ナビ・</v>
      </c>
      <c r="BS39" s="1" t="str">
        <f t="shared" si="19"/>
        <v/>
      </c>
      <c r="BT39" s="79" t="str">
        <f>IF(IF(COUNTIF($BT$4:BT38,BT38)&gt;=MAX($D$4:$D$8),BT38+1,BT38)&gt;55,"",IF(COUNTIF($BT$4:BT38,BT38)&gt;=MAX($D$4:$D$8),BT38+1,BT38))</f>
        <v/>
      </c>
      <c r="BU39" s="1" t="str">
        <f t="shared" si="20"/>
        <v/>
      </c>
      <c r="BV39" s="8" t="str">
        <f t="shared" si="21"/>
        <v/>
      </c>
      <c r="BX39" s="71" t="str">
        <f t="shared" si="22"/>
        <v/>
      </c>
      <c r="BY39" s="71" t="str">
        <f>IF(OR(COUNTBLANK(CB39)=1,ISERROR(CB39)),"",COUNT($CB$4:CB39))</f>
        <v/>
      </c>
      <c r="BZ39" s="7" t="str">
        <f t="shared" si="23"/>
        <v>ナビ・</v>
      </c>
      <c r="CA39" s="1" t="str">
        <f t="shared" si="24"/>
        <v/>
      </c>
      <c r="CB39" s="79" t="str">
        <f>IF(IF(COUNTIF($CB$4:CB38,CB37)&gt;=MAX($D$4:$D$8),CB37+2,CB37)&gt;55,"",IF(COUNTIF($CB$4:CB38,CB37)&gt;=MAX($D$4:$D$8),CB37+2,CB37))</f>
        <v/>
      </c>
      <c r="CC39" s="1" t="str">
        <f t="shared" si="25"/>
        <v/>
      </c>
      <c r="CD39" s="8" t="str">
        <f t="shared" si="26"/>
        <v/>
      </c>
      <c r="CF39" s="71" t="str">
        <f t="shared" si="61"/>
        <v/>
      </c>
      <c r="CG39" s="71" t="str">
        <f>IF(OR(COUNTBLANK(CJ39)=1,ISERROR(CJ39)),"",COUNT($CJ$4:CJ39))</f>
        <v/>
      </c>
      <c r="CH39" s="7" t="str">
        <f t="shared" si="62"/>
        <v>ナビ・</v>
      </c>
      <c r="CI39" s="1" t="str">
        <f t="shared" si="63"/>
        <v/>
      </c>
      <c r="CJ39" s="79" t="str">
        <f>IF(IF(COUNTIF($CJ$4:CJ38,CJ36)&gt;=MAX($D$4:$D$8),CJ36+3,CJ36)&gt;55,"",IF(COUNTIF($CJ$4:CJ38,CJ36)&gt;=MAX($D$4:$D$8),CJ36+3,CJ36))</f>
        <v/>
      </c>
      <c r="CK39" s="1" t="str">
        <f t="shared" si="30"/>
        <v/>
      </c>
      <c r="CL39" s="8" t="str">
        <f t="shared" si="64"/>
        <v/>
      </c>
      <c r="CN39" s="71" t="str">
        <f t="shared" si="51"/>
        <v/>
      </c>
      <c r="CO39" s="71" t="str">
        <f>IF(OR(COUNTBLANK(CR39)=1,ISERROR(CR39)),"",COUNT($CR$4:CR39))</f>
        <v/>
      </c>
      <c r="CP39" s="7" t="str">
        <f t="shared" si="52"/>
        <v>ナビ・</v>
      </c>
      <c r="CQ39" s="1" t="str">
        <f t="shared" si="53"/>
        <v/>
      </c>
      <c r="CR39" s="79" t="str">
        <f>IF(IF(COUNTIF($CR$4:CR38,CR35)&gt;=MAX($D$4:$D$8),CR35+4,CR35)&gt;55,"",IF(COUNTIF($CR$4:CR38,CR35)&gt;=MAX($D$4:$D$8),CR35+4,CR35))</f>
        <v/>
      </c>
      <c r="CS39" s="1" t="str">
        <f t="shared" si="35"/>
        <v/>
      </c>
      <c r="CT39" s="8" t="str">
        <f t="shared" si="54"/>
        <v/>
      </c>
      <c r="CV39" s="71" t="str">
        <f t="shared" si="65"/>
        <v/>
      </c>
      <c r="CW39" s="71" t="str">
        <f>IF(OR(COUNTBLANK(CZ39)=1,ISERROR(CZ39)),"",COUNT($CZ$4:CZ39))</f>
        <v/>
      </c>
      <c r="CX39" s="7" t="str">
        <f t="shared" si="66"/>
        <v>ナビ・</v>
      </c>
      <c r="CY39" s="1" t="str">
        <f t="shared" si="67"/>
        <v/>
      </c>
      <c r="CZ39" s="79" t="str">
        <f>IF(IF(COUNTIF($CZ$4:CZ38,CZ34)&gt;=MAX($D$4:$D$8),CZ34+5,CZ34)&gt;55,"",IF(COUNTIF($CZ$4:CZ38,CZ34)&gt;=MAX($D$4:$D$8),CZ34+5,CZ34))</f>
        <v/>
      </c>
      <c r="DA39" s="1" t="str">
        <f t="shared" si="40"/>
        <v/>
      </c>
      <c r="DB39" s="8" t="str">
        <f t="shared" si="68"/>
        <v/>
      </c>
    </row>
    <row r="40" spans="5:106" x14ac:dyDescent="0.15">
      <c r="E40" s="1">
        <v>37</v>
      </c>
      <c r="F40" s="1">
        <f t="shared" si="42"/>
        <v>1</v>
      </c>
      <c r="G40" s="1">
        <f t="shared" si="60"/>
        <v>1</v>
      </c>
      <c r="H40" s="1">
        <f t="shared" si="45"/>
        <v>1</v>
      </c>
      <c r="I40" s="1">
        <f t="shared" si="50"/>
        <v>1</v>
      </c>
      <c r="J40" s="1">
        <f t="shared" si="55"/>
        <v>1</v>
      </c>
      <c r="L40" s="1" t="str">
        <f>IF(ISERROR(HLOOKUP($C$10,$F$3:$J$253,38,0)),"",HLOOKUP($C$10,$F$3:$J$253,38,0))</f>
        <v/>
      </c>
      <c r="S40" s="9">
        <v>37</v>
      </c>
      <c r="T40" s="1">
        <v>17</v>
      </c>
      <c r="U40" s="1" t="s">
        <v>31</v>
      </c>
      <c r="W40" s="71" t="e">
        <f>IF(AA40="","",AA40*10+2)</f>
        <v>#VALUE!</v>
      </c>
      <c r="X40" s="71" t="str">
        <f>IF(OR(COUNTBLANK(AA40)=1,ISERROR(AA40)),"",COUNT(AA4:AA40))</f>
        <v/>
      </c>
      <c r="Y40" s="7" t="e">
        <f t="shared" si="0"/>
        <v>#VALUE!</v>
      </c>
      <c r="Z40" s="1" t="str">
        <f t="shared" si="17"/>
        <v/>
      </c>
      <c r="AA40" s="79" t="e">
        <f>IF(IF(COUNTIF(AA4:AA39,AA39)&gt;=MAX(D4:D8),AA39+1,AA39)&gt;50,"",IF(COUNTIF(AA4:AA39,AA39)&gt;=MAX(D4:D8),AA39+1,AA39))</f>
        <v>#VALUE!</v>
      </c>
      <c r="AB40" s="1" t="e">
        <f>IF(AA40="","",VLOOKUP(AA40,S4:U53,3,0))</f>
        <v>#VALUE!</v>
      </c>
      <c r="AC40" s="8" t="str">
        <f t="shared" si="1"/>
        <v/>
      </c>
      <c r="AE40" s="71" t="e">
        <f t="shared" si="2"/>
        <v>#VALUE!</v>
      </c>
      <c r="AF40" s="71" t="str">
        <f>IF(OR(COUNTBLANK(AI40)=1,ISERROR(AI40)),"",COUNT(AI4:AI40))</f>
        <v/>
      </c>
      <c r="AG40" s="7" t="e">
        <f t="shared" si="3"/>
        <v>#VALUE!</v>
      </c>
      <c r="AH40" s="1" t="str">
        <f>IF(ISERROR(INDEX(C4:C8,MATCH(G40,D4:D8,0))),"",INDEX(C4:C8,MATCH(G40,D4:D8,0)))</f>
        <v/>
      </c>
      <c r="AI40" s="79" t="e">
        <f>IF(IF(COUNTIF(AI4:AI39,AI38)&gt;=MAX(D4:D8),AI38+2,AI38)&gt;50,"",IF(COUNTIF(AI4:AI39,AI38)&gt;=MAX(D4:D8),AI38+2,AI38))</f>
        <v>#VALUE!</v>
      </c>
      <c r="AJ40" s="1" t="e">
        <f>IF(AI40="","",VLOOKUP(AI40,S4:U53,3,0))</f>
        <v>#VALUE!</v>
      </c>
      <c r="AK40" s="8" t="str">
        <f t="shared" si="4"/>
        <v/>
      </c>
      <c r="AM40" s="71" t="e">
        <f t="shared" si="5"/>
        <v>#VALUE!</v>
      </c>
      <c r="AN40" s="71" t="str">
        <f>IF(OR(COUNTBLANK(AQ40)=1,ISERROR(AQ40)),"",COUNT(AQ4:AQ40))</f>
        <v/>
      </c>
      <c r="AO40" s="7" t="e">
        <f t="shared" si="6"/>
        <v>#VALUE!</v>
      </c>
      <c r="AP40" s="1" t="str">
        <f>IF(ISERROR(INDEX(C4:C8,MATCH(H40,D4:D8,0))),"",INDEX(C4:C8,MATCH(H40,D4:D8,0)))</f>
        <v/>
      </c>
      <c r="AQ40" s="79" t="e">
        <f>IF(IF(COUNTIF(AQ4:AQ39,AQ37)&gt;=MAX(D4:D8),AQ37+3,AQ37)&gt;50,"",IF(COUNTIF(AQ4:AQ39,AQ37)&gt;=MAX(D4:D8),AQ37+3,AQ37))</f>
        <v>#VALUE!</v>
      </c>
      <c r="AR40" s="1" t="e">
        <f>IF(AQ40="","",VLOOKUP(AQ40,S4:U53,3,0))</f>
        <v>#VALUE!</v>
      </c>
      <c r="AS40" s="8" t="str">
        <f t="shared" si="7"/>
        <v/>
      </c>
      <c r="AU40" s="71" t="e">
        <f t="shared" si="8"/>
        <v>#VALUE!</v>
      </c>
      <c r="AV40" s="71" t="str">
        <f>IF(OR(COUNTBLANK(AY40)=1,ISERROR(AY40)),"",COUNT(AY4:AY40))</f>
        <v/>
      </c>
      <c r="AW40" s="7" t="e">
        <f t="shared" si="9"/>
        <v>#VALUE!</v>
      </c>
      <c r="AX40" s="1" t="str">
        <f>IF(ISERROR(INDEX(C4:C8,MATCH(I40,D4:D8,0))),"",INDEX(C4:C8,MATCH(I40,D4:D8,0)))</f>
        <v/>
      </c>
      <c r="AY40" s="79" t="e">
        <f>IF(IF(COUNTIF(AY4:AY39,AY36)&gt;=MAX(D4:D8),AY36+4,AY36)&gt;50,"",IF(COUNTIF(AY4:AY39,AY36)&gt;=MAX(D4:D8),AY36+4,AY36))</f>
        <v>#VALUE!</v>
      </c>
      <c r="AZ40" s="76" t="e">
        <f>IF(AY40="","",VLOOKUP(AY40,S4:U53,3,0))</f>
        <v>#VALUE!</v>
      </c>
      <c r="BA40" s="8" t="str">
        <f t="shared" si="10"/>
        <v/>
      </c>
      <c r="BC40" s="71" t="e">
        <f t="shared" si="11"/>
        <v>#VALUE!</v>
      </c>
      <c r="BD40" s="71" t="str">
        <f>IF(OR(COUNTBLANK(BG40)=1,ISERROR(BG40)),"",COUNT(BG4:BG40))</f>
        <v/>
      </c>
      <c r="BE40" s="7" t="e">
        <f t="shared" si="12"/>
        <v>#VALUE!</v>
      </c>
      <c r="BF40" s="1" t="str">
        <f>IF(ISERROR(INDEX(C4:C8,MATCH(J40,D4:D8,0))),"",INDEX(C4:C8,MATCH(J40,D4:D8,0)))</f>
        <v/>
      </c>
      <c r="BG40" s="79" t="e">
        <f>IF(IF(COUNTIF(BG4:BG39,BG35)&gt;=MAX(D4:D8),BG35+5,BG35)&gt;50,"",IF(COUNTIF(BG4:BG39,BG35)&gt;=MAX(D4:D8),BG35+5,BG35))</f>
        <v>#VALUE!</v>
      </c>
      <c r="BH40" s="76" t="e">
        <f>IF(BG40="","",VLOOKUP(BG40,S4:U53,3,0))</f>
        <v>#VALUE!</v>
      </c>
      <c r="BI40" s="8" t="str">
        <f t="shared" si="13"/>
        <v/>
      </c>
      <c r="BL40" s="115">
        <v>37</v>
      </c>
      <c r="BM40" s="112">
        <v>12</v>
      </c>
      <c r="BN40" s="112" t="s">
        <v>26</v>
      </c>
      <c r="BP40" s="71" t="e">
        <f>IF(BT40="","",BT40*10+2)</f>
        <v>#VALUE!</v>
      </c>
      <c r="BQ40" s="71" t="str">
        <f>IF(OR(COUNTBLANK(BT40)=1,ISERROR(BT40)),"",COUNT(BT4:BT40))</f>
        <v/>
      </c>
      <c r="BR40" s="7" t="e">
        <f t="shared" si="18"/>
        <v>#VALUE!</v>
      </c>
      <c r="BS40" s="1" t="str">
        <f t="shared" si="19"/>
        <v/>
      </c>
      <c r="BT40" s="79" t="e">
        <f>IF(IF(COUNTIF($BT$4:BT39,BT39)&gt;=MAX($D$4:$D$8),BT39+1,BT39)&gt;55,"",IF(COUNTIF($BT$4:BT39,BT39)&gt;=MAX($D$4:$D$8),BT39+1,BT39))</f>
        <v>#VALUE!</v>
      </c>
      <c r="BU40" s="1" t="e">
        <f t="shared" si="20"/>
        <v>#VALUE!</v>
      </c>
      <c r="BV40" s="8" t="str">
        <f t="shared" si="21"/>
        <v/>
      </c>
      <c r="BX40" s="71" t="str">
        <f t="shared" si="22"/>
        <v/>
      </c>
      <c r="BY40" s="71" t="str">
        <f>IF(OR(COUNTBLANK(CB40)=1,ISERROR(CB40)),"",COUNT($CB$4:CB40))</f>
        <v/>
      </c>
      <c r="BZ40" s="7" t="str">
        <f t="shared" si="23"/>
        <v>ナビ・</v>
      </c>
      <c r="CA40" s="1" t="str">
        <f t="shared" si="24"/>
        <v/>
      </c>
      <c r="CB40" s="79" t="str">
        <f>IF(IF(COUNTIF($CB$4:CB39,CB38)&gt;=MAX($D$4:$D$8),CB38+2,CB38)&gt;55,"",IF(COUNTIF($CB$4:CB39,CB38)&gt;=MAX($D$4:$D$8),CB38+2,CB38))</f>
        <v/>
      </c>
      <c r="CC40" s="1" t="str">
        <f t="shared" si="25"/>
        <v/>
      </c>
      <c r="CD40" s="8" t="str">
        <f t="shared" si="26"/>
        <v/>
      </c>
      <c r="CF40" s="71" t="str">
        <f t="shared" si="61"/>
        <v/>
      </c>
      <c r="CG40" s="71" t="str">
        <f>IF(OR(COUNTBLANK(CJ40)=1,ISERROR(CJ40)),"",COUNT($CJ$4:CJ40))</f>
        <v/>
      </c>
      <c r="CH40" s="7" t="str">
        <f t="shared" si="62"/>
        <v>ナビ・</v>
      </c>
      <c r="CI40" s="1" t="str">
        <f t="shared" si="63"/>
        <v/>
      </c>
      <c r="CJ40" s="79" t="str">
        <f>IF(IF(COUNTIF($CJ$4:CJ39,CJ37)&gt;=MAX($D$4:$D$8),CJ37+3,CJ37)&gt;55,"",IF(COUNTIF($CJ$4:CJ39,CJ37)&gt;=MAX($D$4:$D$8),CJ37+3,CJ37))</f>
        <v/>
      </c>
      <c r="CK40" s="1" t="str">
        <f t="shared" si="30"/>
        <v/>
      </c>
      <c r="CL40" s="8" t="str">
        <f t="shared" si="64"/>
        <v/>
      </c>
      <c r="CN40" s="71" t="str">
        <f t="shared" si="51"/>
        <v/>
      </c>
      <c r="CO40" s="71" t="str">
        <f>IF(OR(COUNTBLANK(CR40)=1,ISERROR(CR40)),"",COUNT($CR$4:CR40))</f>
        <v/>
      </c>
      <c r="CP40" s="7" t="str">
        <f t="shared" si="52"/>
        <v>ナビ・</v>
      </c>
      <c r="CQ40" s="1" t="str">
        <f t="shared" si="53"/>
        <v/>
      </c>
      <c r="CR40" s="79" t="str">
        <f>IF(IF(COUNTIF($CR$4:CR39,CR36)&gt;=MAX($D$4:$D$8),CR36+4,CR36)&gt;55,"",IF(COUNTIF($CR$4:CR39,CR36)&gt;=MAX($D$4:$D$8),CR36+4,CR36))</f>
        <v/>
      </c>
      <c r="CS40" s="1" t="str">
        <f t="shared" si="35"/>
        <v/>
      </c>
      <c r="CT40" s="8" t="str">
        <f t="shared" si="54"/>
        <v/>
      </c>
      <c r="CV40" s="71" t="str">
        <f t="shared" si="65"/>
        <v/>
      </c>
      <c r="CW40" s="71" t="str">
        <f>IF(OR(COUNTBLANK(CZ40)=1,ISERROR(CZ40)),"",COUNT($CZ$4:CZ40))</f>
        <v/>
      </c>
      <c r="CX40" s="7" t="str">
        <f t="shared" si="66"/>
        <v>ナビ・</v>
      </c>
      <c r="CY40" s="1" t="str">
        <f t="shared" si="67"/>
        <v/>
      </c>
      <c r="CZ40" s="79" t="str">
        <f>IF(IF(COUNTIF($CZ$4:CZ39,CZ35)&gt;=MAX($D$4:$D$8),CZ35+5,CZ35)&gt;55,"",IF(COUNTIF($CZ$4:CZ39,CZ35)&gt;=MAX($D$4:$D$8),CZ35+5,CZ35))</f>
        <v/>
      </c>
      <c r="DA40" s="1" t="str">
        <f t="shared" si="40"/>
        <v/>
      </c>
      <c r="DB40" s="8" t="str">
        <f t="shared" si="68"/>
        <v/>
      </c>
    </row>
    <row r="41" spans="5:106" x14ac:dyDescent="0.15">
      <c r="E41" s="1">
        <v>38</v>
      </c>
      <c r="F41" s="1">
        <f t="shared" si="42"/>
        <v>1</v>
      </c>
      <c r="G41" s="1">
        <f t="shared" si="60"/>
        <v>1</v>
      </c>
      <c r="H41" s="1">
        <f t="shared" si="45"/>
        <v>1</v>
      </c>
      <c r="I41" s="1">
        <f t="shared" si="50"/>
        <v>1</v>
      </c>
      <c r="J41" s="1">
        <f t="shared" si="55"/>
        <v>1</v>
      </c>
      <c r="L41" s="1" t="str">
        <f>IF(ISERROR(HLOOKUP($C$10,$F$3:$J$253,39,0)),"",HLOOKUP($C$10,$F$3:$J$253,39,0))</f>
        <v/>
      </c>
      <c r="S41" s="9">
        <v>38</v>
      </c>
      <c r="T41" s="1">
        <v>18</v>
      </c>
      <c r="U41" s="1" t="s">
        <v>32</v>
      </c>
      <c r="W41" s="71" t="e">
        <f>IF(AA41="","",AA41*10+3)</f>
        <v>#VALUE!</v>
      </c>
      <c r="X41" s="71" t="str">
        <f>IF(OR(COUNTBLANK(AA41)=1,ISERROR(AA41)),"",COUNT(AA4:AA41))</f>
        <v/>
      </c>
      <c r="Y41" s="7" t="e">
        <f t="shared" si="0"/>
        <v>#VALUE!</v>
      </c>
      <c r="Z41" s="1" t="str">
        <f t="shared" si="17"/>
        <v/>
      </c>
      <c r="AA41" s="79" t="e">
        <f>IF(IF(COUNTIF(AA4:AA40,AA40)&gt;=MAX(D4:D8),AA40+1,AA40)&gt;50,"",IF(COUNTIF(AA4:AA40,AA40)&gt;=MAX(D4:D8),AA40+1,AA40))</f>
        <v>#VALUE!</v>
      </c>
      <c r="AB41" s="1" t="e">
        <f>IF(AA41="","",VLOOKUP(AA41,S4:U53,3,0))</f>
        <v>#VALUE!</v>
      </c>
      <c r="AC41" s="8" t="str">
        <f t="shared" si="1"/>
        <v/>
      </c>
      <c r="AE41" s="71" t="e">
        <f t="shared" si="2"/>
        <v>#VALUE!</v>
      </c>
      <c r="AF41" s="71" t="str">
        <f>IF(OR(COUNTBLANK(AI41)=1,ISERROR(AI41)),"",COUNT(AI4:AI41))</f>
        <v/>
      </c>
      <c r="AG41" s="7" t="e">
        <f t="shared" si="3"/>
        <v>#VALUE!</v>
      </c>
      <c r="AH41" s="1" t="str">
        <f>IF(ISERROR(INDEX(C4:C8,MATCH(G41,D4:D8,0))),"",INDEX(C4:C8,MATCH(G41,D4:D8,0)))</f>
        <v/>
      </c>
      <c r="AI41" s="79" t="e">
        <f>IF(IF(COUNTIF(AI4:AI39,AI39)&gt;=MAX(D4:D8),AI39+2,AI39)&gt;50,"",IF(COUNTIF(AI4:AI39,AI39)&gt;=MAX(D4:D8),AI39+2,AI39))</f>
        <v>#VALUE!</v>
      </c>
      <c r="AJ41" s="1" t="e">
        <f>IF(AI41="","",VLOOKUP(AI41,S4:U53,3,0))</f>
        <v>#VALUE!</v>
      </c>
      <c r="AK41" s="8" t="str">
        <f t="shared" si="4"/>
        <v/>
      </c>
      <c r="AM41" s="71" t="e">
        <f t="shared" si="5"/>
        <v>#VALUE!</v>
      </c>
      <c r="AN41" s="71" t="str">
        <f>IF(OR(COUNTBLANK(AQ41)=1,ISERROR(AQ41)),"",COUNT(AQ4:AQ41))</f>
        <v/>
      </c>
      <c r="AO41" s="7" t="e">
        <f t="shared" si="6"/>
        <v>#VALUE!</v>
      </c>
      <c r="AP41" s="1" t="str">
        <f>IF(ISERROR(INDEX(C4:C8,MATCH(H41,D4:D8,0))),"",INDEX(C4:C8,MATCH(H41,D4:D8,0)))</f>
        <v/>
      </c>
      <c r="AQ41" s="79" t="e">
        <f>IF(IF(COUNTIF(AQ4:AQ40,AQ38)&gt;=MAX(D4:D8),AQ38+3,AQ38)&gt;50,"",IF(COUNTIF(AQ4:AQ40,AQ38)&gt;=MAX(D4:D8),AQ38+3,AQ38))</f>
        <v>#VALUE!</v>
      </c>
      <c r="AR41" s="1" t="e">
        <f>IF(AQ41="","",VLOOKUP(AQ41,S4:U53,3,0))</f>
        <v>#VALUE!</v>
      </c>
      <c r="AS41" s="8" t="str">
        <f t="shared" si="7"/>
        <v/>
      </c>
      <c r="AU41" s="71" t="e">
        <f t="shared" si="8"/>
        <v>#VALUE!</v>
      </c>
      <c r="AV41" s="71" t="str">
        <f>IF(OR(COUNTBLANK(AY41)=1,ISERROR(AY41)),"",COUNT(AY4:AY41))</f>
        <v/>
      </c>
      <c r="AW41" s="7" t="e">
        <f t="shared" si="9"/>
        <v>#VALUE!</v>
      </c>
      <c r="AX41" s="1" t="str">
        <f>IF(ISERROR(INDEX(C4:C8,MATCH(I41,D4:D8,0))),"",INDEX(C4:C8,MATCH(I41,D4:D8,0)))</f>
        <v/>
      </c>
      <c r="AY41" s="79" t="e">
        <f>IF(IF(COUNTIF(AY4:AY40,AY37)&gt;=MAX(D4:D8),AY37+4,AY37)&gt;50,"",IF(COUNTIF(AY4:AY40,AY37)&gt;=MAX(D4:D8),AY37+4,AY37))</f>
        <v>#VALUE!</v>
      </c>
      <c r="AZ41" s="76" t="e">
        <f>IF(AY41="","",VLOOKUP(AY41,S4:U53,3,0))</f>
        <v>#VALUE!</v>
      </c>
      <c r="BA41" s="8" t="str">
        <f t="shared" si="10"/>
        <v/>
      </c>
      <c r="BC41" s="71" t="e">
        <f t="shared" si="11"/>
        <v>#VALUE!</v>
      </c>
      <c r="BD41" s="71" t="str">
        <f>IF(OR(COUNTBLANK(BG41)=1,ISERROR(BG41)),"",COUNT(BG4:BG41))</f>
        <v/>
      </c>
      <c r="BE41" s="7" t="e">
        <f t="shared" si="12"/>
        <v>#VALUE!</v>
      </c>
      <c r="BF41" s="1" t="str">
        <f>IF(ISERROR(INDEX(C4:C8,MATCH(J41,D4:D8,0))),"",INDEX(C4:C8,MATCH(J41,D4:D8,0)))</f>
        <v/>
      </c>
      <c r="BG41" s="79" t="e">
        <f>IF(IF(COUNTIF(BG4:BG40,BG36)&gt;=MAX(D4:D8),BG36+5,BG36)&gt;50,"",IF(COUNTIF(BG4:BG40,BG36)&gt;=MAX(D4:D8),BG36+5,BG36))</f>
        <v>#VALUE!</v>
      </c>
      <c r="BH41" s="76" t="e">
        <f>IF(BG41="","",VLOOKUP(BG41,S4:U53,3,0))</f>
        <v>#VALUE!</v>
      </c>
      <c r="BI41" s="8" t="str">
        <f t="shared" si="13"/>
        <v/>
      </c>
      <c r="BL41" s="115">
        <v>38</v>
      </c>
      <c r="BM41" s="112">
        <v>13</v>
      </c>
      <c r="BN41" s="112" t="s">
        <v>27</v>
      </c>
      <c r="BP41" s="71" t="e">
        <f>IF(BT41="","",BT41*10+3)</f>
        <v>#VALUE!</v>
      </c>
      <c r="BQ41" s="71" t="str">
        <f>IF(OR(COUNTBLANK(BT41)=1,ISERROR(BT41)),"",COUNT(BT4:BT41))</f>
        <v/>
      </c>
      <c r="BR41" s="7" t="e">
        <f t="shared" si="18"/>
        <v>#VALUE!</v>
      </c>
      <c r="BS41" s="1" t="str">
        <f t="shared" si="19"/>
        <v/>
      </c>
      <c r="BT41" s="79" t="e">
        <f>IF(IF(COUNTIF($BT$4:BT40,BT40)&gt;=MAX($D$4:$D$8),BT40+1,BT40)&gt;55,"",IF(COUNTIF($BT$4:BT40,BT40)&gt;=MAX($D$4:$D$8),BT40+1,BT40))</f>
        <v>#VALUE!</v>
      </c>
      <c r="BU41" s="1" t="e">
        <f t="shared" si="20"/>
        <v>#VALUE!</v>
      </c>
      <c r="BV41" s="8" t="str">
        <f t="shared" si="21"/>
        <v/>
      </c>
      <c r="BX41" s="71" t="e">
        <f t="shared" si="22"/>
        <v>#VALUE!</v>
      </c>
      <c r="BY41" s="71" t="str">
        <f>IF(OR(COUNTBLANK(CB41)=1,ISERROR(CB41)),"",COUNT($CB$4:CB41))</f>
        <v/>
      </c>
      <c r="BZ41" s="7" t="e">
        <f t="shared" si="23"/>
        <v>#VALUE!</v>
      </c>
      <c r="CA41" s="1" t="str">
        <f t="shared" si="24"/>
        <v/>
      </c>
      <c r="CB41" s="79" t="e">
        <f>IF(IF(COUNTIF($CB$4:CB40,CB39)&gt;=MAX($D$4:$D$8),CB39+2,CB39)&gt;55,"",IF(COUNTIF($CB$4:CB40,CB39)&gt;=MAX($D$4:$D$8),CB39+2,CB39))</f>
        <v>#VALUE!</v>
      </c>
      <c r="CC41" s="1" t="e">
        <f t="shared" si="25"/>
        <v>#VALUE!</v>
      </c>
      <c r="CD41" s="8" t="str">
        <f t="shared" si="26"/>
        <v/>
      </c>
      <c r="CF41" s="71" t="str">
        <f t="shared" si="61"/>
        <v/>
      </c>
      <c r="CG41" s="71" t="str">
        <f>IF(OR(COUNTBLANK(CJ41)=1,ISERROR(CJ41)),"",COUNT($CJ$4:CJ41))</f>
        <v/>
      </c>
      <c r="CH41" s="7" t="str">
        <f t="shared" si="62"/>
        <v>ナビ・</v>
      </c>
      <c r="CI41" s="1" t="str">
        <f t="shared" si="63"/>
        <v/>
      </c>
      <c r="CJ41" s="79" t="str">
        <f>IF(IF(COUNTIF($CJ$4:CJ40,CJ38)&gt;=MAX($D$4:$D$8),CJ38+3,CJ38)&gt;55,"",IF(COUNTIF($CJ$4:CJ40,CJ38)&gt;=MAX($D$4:$D$8),CJ38+3,CJ38))</f>
        <v/>
      </c>
      <c r="CK41" s="1" t="str">
        <f t="shared" si="30"/>
        <v/>
      </c>
      <c r="CL41" s="8" t="str">
        <f t="shared" si="64"/>
        <v/>
      </c>
      <c r="CN41" s="71" t="str">
        <f t="shared" si="51"/>
        <v/>
      </c>
      <c r="CO41" s="71" t="str">
        <f>IF(OR(COUNTBLANK(CR41)=1,ISERROR(CR41)),"",COUNT($CR$4:CR41))</f>
        <v/>
      </c>
      <c r="CP41" s="7" t="str">
        <f t="shared" si="52"/>
        <v>ナビ・</v>
      </c>
      <c r="CQ41" s="1" t="str">
        <f t="shared" si="53"/>
        <v/>
      </c>
      <c r="CR41" s="79" t="str">
        <f>IF(IF(COUNTIF($CR$4:CR40,CR37)&gt;=MAX($D$4:$D$8),CR37+4,CR37)&gt;55,"",IF(COUNTIF($CR$4:CR40,CR37)&gt;=MAX($D$4:$D$8),CR37+4,CR37))</f>
        <v/>
      </c>
      <c r="CS41" s="1" t="str">
        <f t="shared" si="35"/>
        <v/>
      </c>
      <c r="CT41" s="8" t="str">
        <f t="shared" si="54"/>
        <v/>
      </c>
      <c r="CV41" s="71" t="str">
        <f t="shared" si="65"/>
        <v/>
      </c>
      <c r="CW41" s="71" t="str">
        <f>IF(OR(COUNTBLANK(CZ41)=1,ISERROR(CZ41)),"",COUNT($CZ$4:CZ41))</f>
        <v/>
      </c>
      <c r="CX41" s="7" t="str">
        <f t="shared" si="66"/>
        <v>ナビ・</v>
      </c>
      <c r="CY41" s="1" t="str">
        <f t="shared" si="67"/>
        <v/>
      </c>
      <c r="CZ41" s="79" t="str">
        <f>IF(IF(COUNTIF($CZ$4:CZ40,CZ36)&gt;=MAX($D$4:$D$8),CZ36+5,CZ36)&gt;55,"",IF(COUNTIF($CZ$4:CZ40,CZ36)&gt;=MAX($D$4:$D$8),CZ36+5,CZ36))</f>
        <v/>
      </c>
      <c r="DA41" s="1" t="str">
        <f t="shared" si="40"/>
        <v/>
      </c>
      <c r="DB41" s="8" t="str">
        <f t="shared" si="68"/>
        <v/>
      </c>
    </row>
    <row r="42" spans="5:106" x14ac:dyDescent="0.15">
      <c r="E42" s="1">
        <v>39</v>
      </c>
      <c r="F42" s="1">
        <f t="shared" si="42"/>
        <v>1</v>
      </c>
      <c r="G42" s="1">
        <f t="shared" si="60"/>
        <v>1</v>
      </c>
      <c r="H42" s="1">
        <f t="shared" si="45"/>
        <v>1</v>
      </c>
      <c r="I42" s="1">
        <f t="shared" si="50"/>
        <v>1</v>
      </c>
      <c r="J42" s="1">
        <f t="shared" si="55"/>
        <v>1</v>
      </c>
      <c r="L42" s="1" t="str">
        <f>IF(ISERROR(HLOOKUP($C$10,$F$3:$J$253,40,0)),"",HLOOKUP($C$10,$F$3:$J$253,40,0))</f>
        <v/>
      </c>
      <c r="S42" s="9">
        <v>39</v>
      </c>
      <c r="T42" s="1">
        <v>19</v>
      </c>
      <c r="U42" s="1" t="s">
        <v>33</v>
      </c>
      <c r="W42" s="71" t="e">
        <f>IF(AA42="","",AA42*10+4)</f>
        <v>#VALUE!</v>
      </c>
      <c r="X42" s="71" t="str">
        <f>IF(OR(COUNTBLANK(AA42)=1,ISERROR(AA42)),"",COUNT(AA4:AA42))</f>
        <v/>
      </c>
      <c r="Y42" s="7" t="e">
        <f t="shared" si="0"/>
        <v>#VALUE!</v>
      </c>
      <c r="Z42" s="1" t="str">
        <f t="shared" si="17"/>
        <v/>
      </c>
      <c r="AA42" s="79" t="e">
        <f>IF(IF(COUNTIF(AA4:AA41,AA41)&gt;=MAX(D4:D8),AA41+1,AA41)&gt;50,"",IF(COUNTIF(AA4:AA41,AA41)&gt;=MAX(D4:D8),AA41+1,AA41))</f>
        <v>#VALUE!</v>
      </c>
      <c r="AB42" s="1" t="e">
        <f>IF(AA42="","",VLOOKUP(AA42,S4:U53,3,0))</f>
        <v>#VALUE!</v>
      </c>
      <c r="AC42" s="8" t="str">
        <f t="shared" si="1"/>
        <v/>
      </c>
      <c r="AE42" s="71" t="e">
        <f t="shared" si="2"/>
        <v>#VALUE!</v>
      </c>
      <c r="AF42" s="71" t="str">
        <f>IF(OR(COUNTBLANK(AI42)=1,ISERROR(AI42)),"",COUNT(AI4:AI42))</f>
        <v/>
      </c>
      <c r="AG42" s="7" t="e">
        <f t="shared" si="3"/>
        <v>#VALUE!</v>
      </c>
      <c r="AH42" s="1" t="str">
        <f>IF(ISERROR(INDEX(C4:C8,MATCH(G42,D4:D8,0))),"",INDEX(C4:C8,MATCH(G42,D4:D8,0)))</f>
        <v/>
      </c>
      <c r="AI42" s="79" t="e">
        <f>IF(IF(COUNTIF(AI4:AI41,AI40)&gt;=MAX(D4:D8),AI40+2,AI40)&gt;50,"",IF(COUNTIF(AI4:AI41,AI40)&gt;=MAX(D4:D8),AI40+2,AI40))</f>
        <v>#VALUE!</v>
      </c>
      <c r="AJ42" s="1" t="e">
        <f>IF(AI42="","",VLOOKUP(AI42,S4:U53,3,0))</f>
        <v>#VALUE!</v>
      </c>
      <c r="AK42" s="8" t="str">
        <f t="shared" si="4"/>
        <v/>
      </c>
      <c r="AM42" s="71" t="e">
        <f t="shared" si="5"/>
        <v>#VALUE!</v>
      </c>
      <c r="AN42" s="71" t="str">
        <f>IF(OR(COUNTBLANK(AQ42)=1,ISERROR(AQ42)),"",COUNT(AQ4:AQ42))</f>
        <v/>
      </c>
      <c r="AO42" s="7" t="e">
        <f t="shared" si="6"/>
        <v>#VALUE!</v>
      </c>
      <c r="AP42" s="1" t="str">
        <f>IF(ISERROR(INDEX(C4:C8,MATCH(H42,D4:D8,0))),"",INDEX(C4:C8,MATCH(H42,D4:D8,0)))</f>
        <v/>
      </c>
      <c r="AQ42" s="79" t="e">
        <f>IF(IF(COUNTIF(AQ4:AQ41,AQ39)&gt;=MAX(D4:D8),AQ39+3,AQ39)&gt;50,"",IF(COUNTIF(AQ4:AQ41,AQ39)&gt;=MAX(D4:D8),AQ39+3,AQ39))</f>
        <v>#VALUE!</v>
      </c>
      <c r="AR42" s="1" t="e">
        <f>IF(AQ42="","",VLOOKUP(AQ42,S4:U53,3,0))</f>
        <v>#VALUE!</v>
      </c>
      <c r="AS42" s="8" t="str">
        <f t="shared" si="7"/>
        <v/>
      </c>
      <c r="AU42" s="71" t="e">
        <f t="shared" si="8"/>
        <v>#VALUE!</v>
      </c>
      <c r="AV42" s="71" t="str">
        <f>IF(OR(COUNTBLANK(AY42)=1,ISERROR(AY42)),"",COUNT(AY4:AY42))</f>
        <v/>
      </c>
      <c r="AW42" s="7" t="e">
        <f t="shared" si="9"/>
        <v>#VALUE!</v>
      </c>
      <c r="AX42" s="1" t="str">
        <f>IF(ISERROR(INDEX(C4:C8,MATCH(I42,D4:D8,0))),"",INDEX(C4:C8,MATCH(I42,D4:D8,0)))</f>
        <v/>
      </c>
      <c r="AY42" s="79" t="e">
        <f>IF(IF(COUNTIF(AY4:AY41,AY38)&gt;=MAX(D4:D8),AY38+4,AY38)&gt;50,"",IF(COUNTIF(AY4:AY41,AY38)&gt;=MAX(D4:D8),AY38+4,AY38))</f>
        <v>#VALUE!</v>
      </c>
      <c r="AZ42" s="76" t="e">
        <f>IF(AY42="","",VLOOKUP(AY42,S4:U53,3,0))</f>
        <v>#VALUE!</v>
      </c>
      <c r="BA42" s="8" t="str">
        <f t="shared" si="10"/>
        <v/>
      </c>
      <c r="BC42" s="71" t="e">
        <f t="shared" si="11"/>
        <v>#VALUE!</v>
      </c>
      <c r="BD42" s="71" t="str">
        <f>IF(OR(COUNTBLANK(BG42)=1,ISERROR(BG42)),"",COUNT(BG4:BG42))</f>
        <v/>
      </c>
      <c r="BE42" s="7" t="e">
        <f t="shared" si="12"/>
        <v>#VALUE!</v>
      </c>
      <c r="BF42" s="1" t="str">
        <f>IF(ISERROR(INDEX(C4:C8,MATCH(J42,D4:D8,0))),"",INDEX(C4:C8,MATCH(J42,D4:D8,0)))</f>
        <v/>
      </c>
      <c r="BG42" s="79" t="e">
        <f>IF(IF(COUNTIF(BG4:BG41,BG37)&gt;=MAX(D4:D8),BG37+5,BG37)&gt;50,"",IF(COUNTIF(BG4:BG41,BG37)&gt;=MAX(D4:D8),BG37+5,BG37))</f>
        <v>#VALUE!</v>
      </c>
      <c r="BH42" s="76" t="e">
        <f>IF(BG42="","",VLOOKUP(BG42,S4:U53,3,0))</f>
        <v>#VALUE!</v>
      </c>
      <c r="BI42" s="8" t="str">
        <f t="shared" si="13"/>
        <v/>
      </c>
      <c r="BL42" s="115">
        <v>39</v>
      </c>
      <c r="BM42" s="112">
        <v>14</v>
      </c>
      <c r="BN42" s="112" t="s">
        <v>28</v>
      </c>
      <c r="BP42" s="71" t="e">
        <f>IF(BT42="","",BT42*10+4)</f>
        <v>#VALUE!</v>
      </c>
      <c r="BQ42" s="71" t="str">
        <f>IF(OR(COUNTBLANK(BT42)=1,ISERROR(BT42)),"",COUNT(BT4:BT42))</f>
        <v/>
      </c>
      <c r="BR42" s="7" t="e">
        <f t="shared" si="18"/>
        <v>#VALUE!</v>
      </c>
      <c r="BS42" s="1" t="str">
        <f t="shared" si="19"/>
        <v/>
      </c>
      <c r="BT42" s="79" t="e">
        <f>IF(IF(COUNTIF($BT$4:BT41,BT41)&gt;=MAX($D$4:$D$8),BT41+1,BT41)&gt;55,"",IF(COUNTIF($BT$4:BT41,BT41)&gt;=MAX($D$4:$D$8),BT41+1,BT41))</f>
        <v>#VALUE!</v>
      </c>
      <c r="BU42" s="1" t="e">
        <f t="shared" si="20"/>
        <v>#VALUE!</v>
      </c>
      <c r="BV42" s="8" t="str">
        <f t="shared" si="21"/>
        <v/>
      </c>
      <c r="BX42" s="71" t="e">
        <f t="shared" si="22"/>
        <v>#VALUE!</v>
      </c>
      <c r="BY42" s="71" t="str">
        <f>IF(OR(COUNTBLANK(CB42)=1,ISERROR(CB42)),"",COUNT($CB$4:CB42))</f>
        <v/>
      </c>
      <c r="BZ42" s="7" t="e">
        <f t="shared" si="23"/>
        <v>#VALUE!</v>
      </c>
      <c r="CA42" s="1" t="str">
        <f t="shared" si="24"/>
        <v/>
      </c>
      <c r="CB42" s="79" t="e">
        <f>IF(IF(COUNTIF($CB$4:CB41,CB40)&gt;=MAX($D$4:$D$8),CB40+2,CB40)&gt;55,"",IF(COUNTIF($CB$4:CB41,CB40)&gt;=MAX($D$4:$D$8),CB40+2,CB40))</f>
        <v>#VALUE!</v>
      </c>
      <c r="CC42" s="1" t="e">
        <f t="shared" si="25"/>
        <v>#VALUE!</v>
      </c>
      <c r="CD42" s="8" t="str">
        <f t="shared" si="26"/>
        <v/>
      </c>
      <c r="CF42" s="71" t="e">
        <f t="shared" si="61"/>
        <v>#VALUE!</v>
      </c>
      <c r="CG42" s="71" t="str">
        <f>IF(OR(COUNTBLANK(CJ42)=1,ISERROR(CJ42)),"",COUNT($CJ$4:CJ42))</f>
        <v/>
      </c>
      <c r="CH42" s="7" t="e">
        <f t="shared" si="62"/>
        <v>#VALUE!</v>
      </c>
      <c r="CI42" s="1" t="str">
        <f t="shared" si="63"/>
        <v/>
      </c>
      <c r="CJ42" s="79" t="e">
        <f>IF(IF(COUNTIF($CJ$4:CJ41,CJ39)&gt;=MAX($D$4:$D$8),CJ39+3,CJ39)&gt;55,"",IF(COUNTIF($CJ$4:CJ41,CJ39)&gt;=MAX($D$4:$D$8),CJ39+3,CJ39))</f>
        <v>#VALUE!</v>
      </c>
      <c r="CK42" s="1" t="e">
        <f t="shared" si="30"/>
        <v>#VALUE!</v>
      </c>
      <c r="CL42" s="8" t="str">
        <f t="shared" si="64"/>
        <v/>
      </c>
      <c r="CN42" s="71" t="str">
        <f t="shared" si="51"/>
        <v/>
      </c>
      <c r="CO42" s="71" t="str">
        <f>IF(OR(COUNTBLANK(CR42)=1,ISERROR(CR42)),"",COUNT($CR$4:CR42))</f>
        <v/>
      </c>
      <c r="CP42" s="7" t="str">
        <f t="shared" si="52"/>
        <v>ナビ・</v>
      </c>
      <c r="CQ42" s="1" t="str">
        <f t="shared" si="53"/>
        <v/>
      </c>
      <c r="CR42" s="79" t="str">
        <f>IF(IF(COUNTIF($CR$4:CR41,CR38)&gt;=MAX($D$4:$D$8),CR38+4,CR38)&gt;55,"",IF(COUNTIF($CR$4:CR41,CR38)&gt;=MAX($D$4:$D$8),CR38+4,CR38))</f>
        <v/>
      </c>
      <c r="CS42" s="1" t="str">
        <f t="shared" si="35"/>
        <v/>
      </c>
      <c r="CT42" s="8" t="str">
        <f t="shared" si="54"/>
        <v/>
      </c>
      <c r="CV42" s="71" t="str">
        <f t="shared" si="65"/>
        <v/>
      </c>
      <c r="CW42" s="71" t="str">
        <f>IF(OR(COUNTBLANK(CZ42)=1,ISERROR(CZ42)),"",COUNT($CZ$4:CZ42))</f>
        <v/>
      </c>
      <c r="CX42" s="7" t="str">
        <f t="shared" si="66"/>
        <v>ナビ・</v>
      </c>
      <c r="CY42" s="1" t="str">
        <f t="shared" si="67"/>
        <v/>
      </c>
      <c r="CZ42" s="79" t="str">
        <f>IF(IF(COUNTIF($CZ$4:CZ41,CZ37)&gt;=MAX($D$4:$D$8),CZ37+5,CZ37)&gt;55,"",IF(COUNTIF($CZ$4:CZ41,CZ37)&gt;=MAX($D$4:$D$8),CZ37+5,CZ37))</f>
        <v/>
      </c>
      <c r="DA42" s="1" t="str">
        <f t="shared" si="40"/>
        <v/>
      </c>
      <c r="DB42" s="8" t="str">
        <f t="shared" si="68"/>
        <v/>
      </c>
    </row>
    <row r="43" spans="5:106" x14ac:dyDescent="0.15">
      <c r="E43" s="1">
        <v>40</v>
      </c>
      <c r="F43" s="1">
        <f t="shared" si="42"/>
        <v>1</v>
      </c>
      <c r="G43" s="1">
        <f t="shared" si="60"/>
        <v>1</v>
      </c>
      <c r="H43" s="1">
        <f t="shared" si="45"/>
        <v>1</v>
      </c>
      <c r="I43" s="1">
        <f t="shared" si="50"/>
        <v>1</v>
      </c>
      <c r="J43" s="1">
        <f t="shared" si="55"/>
        <v>1</v>
      </c>
      <c r="L43" s="1" t="str">
        <f>IF(ISERROR(HLOOKUP($C$10,$F$3:$J$253,41,0)),"",HLOOKUP($C$10,$F$3:$J$253,41,0))</f>
        <v/>
      </c>
      <c r="S43" s="9">
        <v>40</v>
      </c>
      <c r="T43" s="1">
        <v>20</v>
      </c>
      <c r="U43" s="1" t="s">
        <v>34</v>
      </c>
      <c r="W43" s="71" t="e">
        <f>IF(AA43="","",AA43*10+5)</f>
        <v>#VALUE!</v>
      </c>
      <c r="X43" s="71" t="str">
        <f>IF(OR(COUNTBLANK(AA43)=1,ISERROR(AA43)),"",COUNT(AA4:AA43))</f>
        <v/>
      </c>
      <c r="Y43" s="7" t="e">
        <f t="shared" si="0"/>
        <v>#VALUE!</v>
      </c>
      <c r="Z43" s="1" t="str">
        <f t="shared" si="17"/>
        <v/>
      </c>
      <c r="AA43" s="79" t="e">
        <f>IF(IF(COUNTIF(AA4:AA42,AA42)&gt;=MAX(D4:D8),AA42+1,AA42)&gt;50,"",IF(COUNTIF(AA4:AA42,AA42)&gt;=MAX(D4:D8),AA42+1,AA42))</f>
        <v>#VALUE!</v>
      </c>
      <c r="AB43" s="1" t="e">
        <f>IF(AA43="","",VLOOKUP(AA43,S4:U53,3,0))</f>
        <v>#VALUE!</v>
      </c>
      <c r="AC43" s="8" t="str">
        <f t="shared" si="1"/>
        <v/>
      </c>
      <c r="AE43" s="71" t="e">
        <f t="shared" si="2"/>
        <v>#VALUE!</v>
      </c>
      <c r="AF43" s="71" t="str">
        <f>IF(OR(COUNTBLANK(AI43)=1,ISERROR(AI43)),"",COUNT(AI4:AI43))</f>
        <v/>
      </c>
      <c r="AG43" s="7" t="e">
        <f t="shared" si="3"/>
        <v>#VALUE!</v>
      </c>
      <c r="AH43" s="1" t="str">
        <f>IF(ISERROR(INDEX(C4:C8,MATCH(G43,D4:D8,0))),"",INDEX(C4:C8,MATCH(G43,D4:D8,0)))</f>
        <v/>
      </c>
      <c r="AI43" s="79" t="e">
        <f>IF(IF(COUNTIF(AI4:AI41,AI41)&gt;=MAX(D4:D8),AI41+2,AI41)&gt;50,"",IF(COUNTIF(AI4:AI41,AI41)&gt;=MAX(D4:D8),AI41+2,AI41))</f>
        <v>#VALUE!</v>
      </c>
      <c r="AJ43" s="1" t="e">
        <f>IF(AI43="","",VLOOKUP(AI43,S4:U53,3,0))</f>
        <v>#VALUE!</v>
      </c>
      <c r="AK43" s="8" t="str">
        <f t="shared" si="4"/>
        <v/>
      </c>
      <c r="AM43" s="71" t="e">
        <f t="shared" si="5"/>
        <v>#VALUE!</v>
      </c>
      <c r="AN43" s="71" t="str">
        <f>IF(OR(COUNTBLANK(AQ43)=1,ISERROR(AQ43)),"",COUNT(AQ4:AQ43))</f>
        <v/>
      </c>
      <c r="AO43" s="7" t="e">
        <f t="shared" si="6"/>
        <v>#VALUE!</v>
      </c>
      <c r="AP43" s="1" t="str">
        <f>IF(ISERROR(INDEX(C4:C8,MATCH(H43,D4:D8,0))),"",INDEX(C4:C8,MATCH(H43,D4:D8,0)))</f>
        <v/>
      </c>
      <c r="AQ43" s="79" t="e">
        <f>IF(IF(COUNTIF(AQ4:AQ42,AQ40)&gt;=MAX(D4:D8),AQ40+3,AQ40)&gt;50,"",IF(COUNTIF(AQ4:AQ42,AQ40)&gt;=MAX(D4:D8),AQ40+3,AQ40))</f>
        <v>#VALUE!</v>
      </c>
      <c r="AR43" s="1" t="e">
        <f>IF(AQ43="","",VLOOKUP(AQ43,S4:U53,3,0))</f>
        <v>#VALUE!</v>
      </c>
      <c r="AS43" s="8" t="str">
        <f t="shared" si="7"/>
        <v/>
      </c>
      <c r="AU43" s="71" t="e">
        <f t="shared" si="8"/>
        <v>#VALUE!</v>
      </c>
      <c r="AV43" s="71" t="str">
        <f>IF(OR(COUNTBLANK(AY43)=1,ISERROR(AY43)),"",COUNT(AY4:AY43))</f>
        <v/>
      </c>
      <c r="AW43" s="7" t="e">
        <f t="shared" si="9"/>
        <v>#VALUE!</v>
      </c>
      <c r="AX43" s="1" t="str">
        <f>IF(ISERROR(INDEX(C4:C8,MATCH(I43,D4:D8,0))),"",INDEX(C4:C8,MATCH(I43,D4:D8,0)))</f>
        <v/>
      </c>
      <c r="AY43" s="79" t="e">
        <f>IF(IF(COUNTIF(AY4:AY42,AY39)&gt;=MAX(D4:D8),AY39+4,AY39)&gt;50,"",IF(COUNTIF(AY4:AY42,AY39)&gt;=MAX(D4:D8),AY39+4,AY39))</f>
        <v>#VALUE!</v>
      </c>
      <c r="AZ43" s="76" t="e">
        <f>IF(AY43="","",VLOOKUP(AY43,S4:U53,3,0))</f>
        <v>#VALUE!</v>
      </c>
      <c r="BA43" s="8" t="str">
        <f t="shared" si="10"/>
        <v/>
      </c>
      <c r="BC43" s="71" t="e">
        <f t="shared" si="11"/>
        <v>#VALUE!</v>
      </c>
      <c r="BD43" s="71" t="str">
        <f>IF(OR(COUNTBLANK(BG43)=1,ISERROR(BG43)),"",COUNT(BG4:BG43))</f>
        <v/>
      </c>
      <c r="BE43" s="7" t="e">
        <f t="shared" si="12"/>
        <v>#VALUE!</v>
      </c>
      <c r="BF43" s="1" t="str">
        <f>IF(ISERROR(INDEX(C4:C8,MATCH(J43,D4:D8,0))),"",INDEX(C4:C8,MATCH(J43,D4:D8,0)))</f>
        <v/>
      </c>
      <c r="BG43" s="79" t="e">
        <f>IF(IF(COUNTIF(BG4:BG42,BG38)&gt;=MAX(D4:D8),BG38+5,BG38)&gt;50,"",IF(COUNTIF(BG4:BG42,BG38)&gt;=MAX(D4:D8),BG38+5,BG38))</f>
        <v>#VALUE!</v>
      </c>
      <c r="BH43" s="76" t="e">
        <f>IF(BG43="","",VLOOKUP(BG43,S4:U53,3,0))</f>
        <v>#VALUE!</v>
      </c>
      <c r="BI43" s="8" t="str">
        <f t="shared" si="13"/>
        <v/>
      </c>
      <c r="BL43" s="115">
        <v>40</v>
      </c>
      <c r="BM43" s="112">
        <v>15</v>
      </c>
      <c r="BN43" s="112" t="s">
        <v>29</v>
      </c>
      <c r="BP43" s="71" t="e">
        <f>IF(BT43="","",BT43*10+5)</f>
        <v>#VALUE!</v>
      </c>
      <c r="BQ43" s="71" t="str">
        <f>IF(OR(COUNTBLANK(BT43)=1,ISERROR(BT43)),"",COUNT(BT4:BT43))</f>
        <v/>
      </c>
      <c r="BR43" s="7" t="e">
        <f t="shared" si="18"/>
        <v>#VALUE!</v>
      </c>
      <c r="BS43" s="1" t="str">
        <f t="shared" si="19"/>
        <v/>
      </c>
      <c r="BT43" s="79" t="e">
        <f>IF(IF(COUNTIF($BT$4:BT42,BT42)&gt;=MAX($D$4:$D$8),BT42+1,BT42)&gt;55,"",IF(COUNTIF($BT$4:BT42,BT42)&gt;=MAX($D$4:$D$8),BT42+1,BT42))</f>
        <v>#VALUE!</v>
      </c>
      <c r="BU43" s="1" t="e">
        <f t="shared" si="20"/>
        <v>#VALUE!</v>
      </c>
      <c r="BV43" s="8" t="str">
        <f t="shared" si="21"/>
        <v/>
      </c>
      <c r="BX43" s="71" t="e">
        <f t="shared" si="22"/>
        <v>#VALUE!</v>
      </c>
      <c r="BY43" s="71" t="str">
        <f>IF(OR(COUNTBLANK(CB43)=1,ISERROR(CB43)),"",COUNT($CB$4:CB43))</f>
        <v/>
      </c>
      <c r="BZ43" s="7" t="e">
        <f t="shared" si="23"/>
        <v>#VALUE!</v>
      </c>
      <c r="CA43" s="1" t="str">
        <f t="shared" si="24"/>
        <v/>
      </c>
      <c r="CB43" s="79" t="e">
        <f>IF(IF(COUNTIF($CB$4:CB42,CB41)&gt;=MAX($D$4:$D$8),CB41+2,CB41)&gt;55,"",IF(COUNTIF($CB$4:CB42,CB41)&gt;=MAX($D$4:$D$8),CB41+2,CB41))</f>
        <v>#VALUE!</v>
      </c>
      <c r="CC43" s="1" t="e">
        <f t="shared" si="25"/>
        <v>#VALUE!</v>
      </c>
      <c r="CD43" s="8" t="str">
        <f t="shared" si="26"/>
        <v/>
      </c>
      <c r="CF43" s="71" t="e">
        <f t="shared" si="61"/>
        <v>#VALUE!</v>
      </c>
      <c r="CG43" s="71" t="str">
        <f>IF(OR(COUNTBLANK(CJ43)=1,ISERROR(CJ43)),"",COUNT($CJ$4:CJ43))</f>
        <v/>
      </c>
      <c r="CH43" s="7" t="e">
        <f t="shared" si="62"/>
        <v>#VALUE!</v>
      </c>
      <c r="CI43" s="1" t="str">
        <f t="shared" si="63"/>
        <v/>
      </c>
      <c r="CJ43" s="79" t="e">
        <f>IF(IF(COUNTIF($CJ$4:CJ42,CJ40)&gt;=MAX($D$4:$D$8),CJ40+3,CJ40)&gt;55,"",IF(COUNTIF($CJ$4:CJ42,CJ40)&gt;=MAX($D$4:$D$8),CJ40+3,CJ40))</f>
        <v>#VALUE!</v>
      </c>
      <c r="CK43" s="1" t="e">
        <f t="shared" si="30"/>
        <v>#VALUE!</v>
      </c>
      <c r="CL43" s="8" t="str">
        <f t="shared" si="64"/>
        <v/>
      </c>
      <c r="CN43" s="71" t="e">
        <f t="shared" si="51"/>
        <v>#VALUE!</v>
      </c>
      <c r="CO43" s="71" t="str">
        <f>IF(OR(COUNTBLANK(CR43)=1,ISERROR(CR43)),"",COUNT($CR$4:CR43))</f>
        <v/>
      </c>
      <c r="CP43" s="7" t="e">
        <f t="shared" si="52"/>
        <v>#VALUE!</v>
      </c>
      <c r="CQ43" s="1" t="str">
        <f t="shared" si="53"/>
        <v/>
      </c>
      <c r="CR43" s="79" t="e">
        <f>IF(IF(COUNTIF($CR$4:CR42,CR39)&gt;=MAX($D$4:$D$8),CR39+4,CR39)&gt;55,"",IF(COUNTIF($CR$4:CR42,CR39)&gt;=MAX($D$4:$D$8),CR39+4,CR39))</f>
        <v>#VALUE!</v>
      </c>
      <c r="CS43" s="1" t="e">
        <f t="shared" si="35"/>
        <v>#VALUE!</v>
      </c>
      <c r="CT43" s="8" t="str">
        <f t="shared" si="54"/>
        <v/>
      </c>
      <c r="CV43" s="71" t="str">
        <f t="shared" si="65"/>
        <v/>
      </c>
      <c r="CW43" s="71" t="str">
        <f>IF(OR(COUNTBLANK(CZ43)=1,ISERROR(CZ43)),"",COUNT($CZ$4:CZ43))</f>
        <v/>
      </c>
      <c r="CX43" s="7" t="str">
        <f t="shared" si="66"/>
        <v>ナビ・</v>
      </c>
      <c r="CY43" s="1" t="str">
        <f t="shared" si="67"/>
        <v/>
      </c>
      <c r="CZ43" s="79" t="str">
        <f>IF(IF(COUNTIF($CZ$4:CZ42,CZ38)&gt;=MAX($D$4:$D$8),CZ38+5,CZ38)&gt;55,"",IF(COUNTIF($CZ$4:CZ42,CZ38)&gt;=MAX($D$4:$D$8),CZ38+5,CZ38))</f>
        <v/>
      </c>
      <c r="DA43" s="1" t="str">
        <f t="shared" si="40"/>
        <v/>
      </c>
      <c r="DB43" s="8" t="str">
        <f t="shared" si="68"/>
        <v/>
      </c>
    </row>
    <row r="44" spans="5:106" x14ac:dyDescent="0.15">
      <c r="E44" s="1">
        <v>41</v>
      </c>
      <c r="F44" s="1">
        <f t="shared" si="42"/>
        <v>1</v>
      </c>
      <c r="G44" s="1">
        <f t="shared" si="60"/>
        <v>1</v>
      </c>
      <c r="H44" s="1">
        <f t="shared" si="45"/>
        <v>1</v>
      </c>
      <c r="I44" s="1">
        <f t="shared" si="50"/>
        <v>1</v>
      </c>
      <c r="J44" s="1">
        <f t="shared" si="55"/>
        <v>1</v>
      </c>
      <c r="L44" s="1" t="str">
        <f>IF(ISERROR(HLOOKUP($C$10,$F$3:$J$253,42,0)),"",HLOOKUP($C$10,$F$3:$J$253,42,0))</f>
        <v/>
      </c>
      <c r="S44" s="9">
        <v>41</v>
      </c>
      <c r="T44" s="1">
        <v>21</v>
      </c>
      <c r="U44" s="1" t="s">
        <v>35</v>
      </c>
      <c r="W44" s="71" t="e">
        <f>IF(AA44="","",AA44*10+1)</f>
        <v>#VALUE!</v>
      </c>
      <c r="X44" s="71" t="str">
        <f>IF(OR(COUNTBLANK(AA44)=1,ISERROR(AA44)),"",COUNT(AA4:AA44))</f>
        <v/>
      </c>
      <c r="Y44" s="7" t="e">
        <f t="shared" si="0"/>
        <v>#VALUE!</v>
      </c>
      <c r="Z44" s="1" t="str">
        <f t="shared" si="17"/>
        <v/>
      </c>
      <c r="AA44" s="79" t="e">
        <f>IF(IF(COUNTIF(AA4:AA43,AA43)&gt;=MAX(D4:D8),AA43+1,AA43)&gt;50,"",IF(COUNTIF(AA4:AA43,AA43)&gt;=MAX(D4:D8),AA43+1,AA43))</f>
        <v>#VALUE!</v>
      </c>
      <c r="AB44" s="1" t="e">
        <f>IF(AA44="","",VLOOKUP(AA44,S4:U53,3,0))</f>
        <v>#VALUE!</v>
      </c>
      <c r="AC44" s="8" t="str">
        <f t="shared" si="1"/>
        <v/>
      </c>
      <c r="AE44" s="71" t="e">
        <f t="shared" si="2"/>
        <v>#VALUE!</v>
      </c>
      <c r="AF44" s="71" t="str">
        <f>IF(OR(COUNTBLANK(AI44)=1,ISERROR(AI44)),"",COUNT(AI4:AI44))</f>
        <v/>
      </c>
      <c r="AG44" s="7" t="e">
        <f t="shared" si="3"/>
        <v>#VALUE!</v>
      </c>
      <c r="AH44" s="1" t="str">
        <f>IF(ISERROR(INDEX(C4:C8,MATCH(G44,D4:D8,0))),"",INDEX(C4:C8,MATCH(G44,D4:D8,0)))</f>
        <v/>
      </c>
      <c r="AI44" s="79" t="e">
        <f>IF(IF(COUNTIF(AI4:AI43,AI42)&gt;=MAX(D4:D8),AI42+2,AI42)&gt;50,"",IF(COUNTIF(AI4:AI43,AI42)&gt;=MAX(D4:D8),AI42+2,AI42))</f>
        <v>#VALUE!</v>
      </c>
      <c r="AJ44" s="1" t="e">
        <f>IF(AI44="","",VLOOKUP(AI44,S4:U53,3,0))</f>
        <v>#VALUE!</v>
      </c>
      <c r="AK44" s="8" t="str">
        <f t="shared" si="4"/>
        <v/>
      </c>
      <c r="AM44" s="71" t="e">
        <f t="shared" si="5"/>
        <v>#VALUE!</v>
      </c>
      <c r="AN44" s="71" t="str">
        <f>IF(OR(COUNTBLANK(AQ44)=1,ISERROR(AQ44)),"",COUNT(AQ4:AQ44))</f>
        <v/>
      </c>
      <c r="AO44" s="7" t="e">
        <f t="shared" si="6"/>
        <v>#VALUE!</v>
      </c>
      <c r="AP44" s="1" t="str">
        <f>IF(ISERROR(INDEX(C4:C8,MATCH(H44,D4:D8,0))),"",INDEX(C4:C8,MATCH(H44,D4:D8,0)))</f>
        <v/>
      </c>
      <c r="AQ44" s="79" t="e">
        <f>IF(IF(COUNTIF(AQ4:AQ43,AQ41)&gt;=MAX(D4:D8),AQ41+3,AQ41)&gt;50,"",IF(COUNTIF(AQ4:AQ43,AQ41)&gt;=MAX(D4:D8),AQ41+3,AQ41))</f>
        <v>#VALUE!</v>
      </c>
      <c r="AR44" s="1" t="e">
        <f>IF(AQ44="","",VLOOKUP(AQ44,S4:U53,3,0))</f>
        <v>#VALUE!</v>
      </c>
      <c r="AS44" s="8" t="str">
        <f t="shared" si="7"/>
        <v/>
      </c>
      <c r="AU44" s="71" t="e">
        <f t="shared" si="8"/>
        <v>#VALUE!</v>
      </c>
      <c r="AV44" s="71" t="str">
        <f>IF(OR(COUNTBLANK(AY44)=1,ISERROR(AY44)),"",COUNT(AY4:AY44))</f>
        <v/>
      </c>
      <c r="AW44" s="7" t="e">
        <f t="shared" si="9"/>
        <v>#VALUE!</v>
      </c>
      <c r="AX44" s="1" t="str">
        <f>IF(ISERROR(INDEX(C4:C8,MATCH(I44,D4:D8,0))),"",INDEX(C4:C8,MATCH(I44,D4:D8,0)))</f>
        <v/>
      </c>
      <c r="AY44" s="79" t="e">
        <f>IF(IF(COUNTIF(AY4:AY43,AY40)&gt;=MAX(D4:D8),AY40+4,AY40)&gt;50,"",IF(COUNTIF(AY4:AY43,AY40)&gt;=MAX(D4:D8),AY40+4,AY40))</f>
        <v>#VALUE!</v>
      </c>
      <c r="AZ44" s="76" t="e">
        <f>IF(AY44="","",VLOOKUP(AY44,S4:U53,3,0))</f>
        <v>#VALUE!</v>
      </c>
      <c r="BA44" s="8" t="str">
        <f t="shared" si="10"/>
        <v/>
      </c>
      <c r="BC44" s="71" t="e">
        <f t="shared" si="11"/>
        <v>#VALUE!</v>
      </c>
      <c r="BD44" s="71" t="str">
        <f>IF(OR(COUNTBLANK(BG44)=1,ISERROR(BG44)),"",COUNT(BG4:BG44))</f>
        <v/>
      </c>
      <c r="BE44" s="7" t="e">
        <f t="shared" si="12"/>
        <v>#VALUE!</v>
      </c>
      <c r="BF44" s="1" t="str">
        <f>IF(ISERROR(INDEX(C4:C8,MATCH(J44,D4:D8,0))),"",INDEX(C4:C8,MATCH(J44,D4:D8,0)))</f>
        <v/>
      </c>
      <c r="BG44" s="79" t="e">
        <f>IF(IF(COUNTIF(BG4:BG43,BG39)&gt;=MAX(D4:D8),BG39+5,BG39)&gt;50,"",IF(COUNTIF(BG4:BG43,BG39)&gt;=MAX(D4:D8),BG39+5,BG39))</f>
        <v>#VALUE!</v>
      </c>
      <c r="BH44" s="76" t="e">
        <f>IF(BG44="","",VLOOKUP(BG44,S4:U53,3,0))</f>
        <v>#VALUE!</v>
      </c>
      <c r="BI44" s="8" t="str">
        <f t="shared" si="13"/>
        <v/>
      </c>
      <c r="BL44" s="115">
        <v>41</v>
      </c>
      <c r="BM44" s="112">
        <v>16</v>
      </c>
      <c r="BN44" s="112" t="s">
        <v>30</v>
      </c>
      <c r="BP44" s="71" t="e">
        <f>IF(BT44="","",BT44*10+1)</f>
        <v>#VALUE!</v>
      </c>
      <c r="BQ44" s="71" t="str">
        <f>IF(OR(COUNTBLANK(BT44)=1,ISERROR(BT44)),"",COUNT(BT4:BT44))</f>
        <v/>
      </c>
      <c r="BR44" s="7" t="e">
        <f t="shared" si="18"/>
        <v>#VALUE!</v>
      </c>
      <c r="BS44" s="1" t="str">
        <f t="shared" si="19"/>
        <v/>
      </c>
      <c r="BT44" s="79" t="e">
        <f>IF(IF(COUNTIF($BT$4:BT43,BT43)&gt;=MAX($D$4:$D$8),BT43+1,BT43)&gt;55,"",IF(COUNTIF($BT$4:BT43,BT43)&gt;=MAX($D$4:$D$8),BT43+1,BT43))</f>
        <v>#VALUE!</v>
      </c>
      <c r="BU44" s="1" t="e">
        <f t="shared" si="20"/>
        <v>#VALUE!</v>
      </c>
      <c r="BV44" s="8" t="str">
        <f t="shared" si="21"/>
        <v/>
      </c>
      <c r="BX44" s="71" t="e">
        <f t="shared" si="22"/>
        <v>#VALUE!</v>
      </c>
      <c r="BY44" s="71" t="str">
        <f>IF(OR(COUNTBLANK(CB44)=1,ISERROR(CB44)),"",COUNT($CB$4:CB44))</f>
        <v/>
      </c>
      <c r="BZ44" s="7" t="e">
        <f t="shared" si="23"/>
        <v>#VALUE!</v>
      </c>
      <c r="CA44" s="1" t="str">
        <f t="shared" si="24"/>
        <v/>
      </c>
      <c r="CB44" s="79" t="e">
        <f>IF(IF(COUNTIF($CB$4:CB43,CB42)&gt;=MAX($D$4:$D$8),CB42+2,CB42)&gt;55,"",IF(COUNTIF($CB$4:CB43,CB42)&gt;=MAX($D$4:$D$8),CB42+2,CB42))</f>
        <v>#VALUE!</v>
      </c>
      <c r="CC44" s="1" t="e">
        <f t="shared" si="25"/>
        <v>#VALUE!</v>
      </c>
      <c r="CD44" s="8" t="str">
        <f t="shared" si="26"/>
        <v/>
      </c>
      <c r="CF44" s="71" t="e">
        <f t="shared" si="61"/>
        <v>#VALUE!</v>
      </c>
      <c r="CG44" s="71" t="str">
        <f>IF(OR(COUNTBLANK(CJ44)=1,ISERROR(CJ44)),"",COUNT($CJ$4:CJ44))</f>
        <v/>
      </c>
      <c r="CH44" s="7" t="e">
        <f t="shared" si="62"/>
        <v>#VALUE!</v>
      </c>
      <c r="CI44" s="1" t="str">
        <f t="shared" si="63"/>
        <v/>
      </c>
      <c r="CJ44" s="79" t="e">
        <f>IF(IF(COUNTIF($CJ$4:CJ43,CJ41)&gt;=MAX($D$4:$D$8),CJ41+3,CJ41)&gt;55,"",IF(COUNTIF($CJ$4:CJ43,CJ41)&gt;=MAX($D$4:$D$8),CJ41+3,CJ41))</f>
        <v>#VALUE!</v>
      </c>
      <c r="CK44" s="1" t="e">
        <f t="shared" si="30"/>
        <v>#VALUE!</v>
      </c>
      <c r="CL44" s="8" t="str">
        <f t="shared" si="64"/>
        <v/>
      </c>
      <c r="CN44" s="71" t="e">
        <f t="shared" si="51"/>
        <v>#VALUE!</v>
      </c>
      <c r="CO44" s="71" t="str">
        <f>IF(OR(COUNTBLANK(CR44)=1,ISERROR(CR44)),"",COUNT($CR$4:CR44))</f>
        <v/>
      </c>
      <c r="CP44" s="7" t="e">
        <f t="shared" si="52"/>
        <v>#VALUE!</v>
      </c>
      <c r="CQ44" s="1" t="str">
        <f t="shared" si="53"/>
        <v/>
      </c>
      <c r="CR44" s="79" t="e">
        <f>IF(IF(COUNTIF($CR$4:CR43,CR40)&gt;=MAX($D$4:$D$8),CR40+4,CR40)&gt;55,"",IF(COUNTIF($CR$4:CR43,CR40)&gt;=MAX($D$4:$D$8),CR40+4,CR40))</f>
        <v>#VALUE!</v>
      </c>
      <c r="CS44" s="1" t="e">
        <f t="shared" si="35"/>
        <v>#VALUE!</v>
      </c>
      <c r="CT44" s="8" t="str">
        <f t="shared" si="54"/>
        <v/>
      </c>
      <c r="CV44" s="71" t="e">
        <f t="shared" si="65"/>
        <v>#VALUE!</v>
      </c>
      <c r="CW44" s="71" t="str">
        <f>IF(OR(COUNTBLANK(CZ44)=1,ISERROR(CZ44)),"",COUNT($CZ$4:CZ44))</f>
        <v/>
      </c>
      <c r="CX44" s="7" t="e">
        <f t="shared" si="66"/>
        <v>#VALUE!</v>
      </c>
      <c r="CY44" s="1" t="str">
        <f t="shared" si="67"/>
        <v/>
      </c>
      <c r="CZ44" s="79" t="e">
        <f>IF(IF(COUNTIF($CZ$4:CZ43,CZ39)&gt;=MAX($D$4:$D$8),CZ39+5,CZ39)&gt;55,"",IF(COUNTIF($CZ$4:CZ43,CZ39)&gt;=MAX($D$4:$D$8),CZ39+5,CZ39))</f>
        <v>#VALUE!</v>
      </c>
      <c r="DA44" s="1" t="e">
        <f t="shared" si="40"/>
        <v>#VALUE!</v>
      </c>
      <c r="DB44" s="8" t="str">
        <f t="shared" si="68"/>
        <v/>
      </c>
    </row>
    <row r="45" spans="5:106" x14ac:dyDescent="0.15">
      <c r="E45" s="1">
        <v>42</v>
      </c>
      <c r="F45" s="1">
        <f t="shared" si="42"/>
        <v>1</v>
      </c>
      <c r="G45" s="1">
        <f t="shared" si="60"/>
        <v>1</v>
      </c>
      <c r="H45" s="1">
        <f t="shared" si="45"/>
        <v>1</v>
      </c>
      <c r="I45" s="1">
        <f t="shared" si="50"/>
        <v>1</v>
      </c>
      <c r="J45" s="1">
        <f t="shared" si="55"/>
        <v>1</v>
      </c>
      <c r="L45" s="1" t="str">
        <f>IF(ISERROR(HLOOKUP($C$10,$F$3:$J$253,43,0)),"",HLOOKUP($C$10,$F$3:$J$253,43,0))</f>
        <v/>
      </c>
      <c r="S45" s="9">
        <v>42</v>
      </c>
      <c r="T45" s="1">
        <v>22</v>
      </c>
      <c r="U45" s="1" t="s">
        <v>36</v>
      </c>
      <c r="W45" s="71" t="e">
        <f>IF(AA45="","",AA45*10+2)</f>
        <v>#VALUE!</v>
      </c>
      <c r="X45" s="71" t="str">
        <f>IF(OR(COUNTBLANK(AA45)=1,ISERROR(AA45)),"",COUNT(AA4:AA45))</f>
        <v/>
      </c>
      <c r="Y45" s="7" t="e">
        <f t="shared" si="0"/>
        <v>#VALUE!</v>
      </c>
      <c r="Z45" s="1" t="str">
        <f t="shared" si="17"/>
        <v/>
      </c>
      <c r="AA45" s="79" t="e">
        <f>IF(IF(COUNTIF(AA4:AA44,AA44)&gt;=MAX(D4:D8),AA44+1,AA44)&gt;50,"",IF(COUNTIF(AA4:AA44,AA44)&gt;=MAX(D4:D8),AA44+1,AA44))</f>
        <v>#VALUE!</v>
      </c>
      <c r="AB45" s="1" t="e">
        <f>IF(AA45="","",VLOOKUP(AA45,S4:U53,3,0))</f>
        <v>#VALUE!</v>
      </c>
      <c r="AC45" s="8" t="str">
        <f t="shared" si="1"/>
        <v/>
      </c>
      <c r="AE45" s="71" t="e">
        <f t="shared" si="2"/>
        <v>#VALUE!</v>
      </c>
      <c r="AF45" s="71" t="str">
        <f>IF(OR(COUNTBLANK(AI45)=1,ISERROR(AI45)),"",COUNT(AI4:AI45))</f>
        <v/>
      </c>
      <c r="AG45" s="7" t="e">
        <f t="shared" si="3"/>
        <v>#VALUE!</v>
      </c>
      <c r="AH45" s="1" t="str">
        <f>IF(ISERROR(INDEX(C4:C8,MATCH(G45,D4:D8,0))),"",INDEX(C4:C8,MATCH(G45,D4:D8,0)))</f>
        <v/>
      </c>
      <c r="AI45" s="79" t="e">
        <f>IF(IF(COUNTIF(AI4:AI43,AI43)&gt;=MAX(D4:D8),AI43+2,AI43)&gt;50,"",IF(COUNTIF(AI4:AI43,AI43)&gt;=MAX(D4:D8),AI43+2,AI43))</f>
        <v>#VALUE!</v>
      </c>
      <c r="AJ45" s="1" t="e">
        <f>IF(AI45="","",VLOOKUP(AI45,S4:U53,3,0))</f>
        <v>#VALUE!</v>
      </c>
      <c r="AK45" s="8" t="str">
        <f t="shared" si="4"/>
        <v/>
      </c>
      <c r="AM45" s="71" t="e">
        <f t="shared" si="5"/>
        <v>#VALUE!</v>
      </c>
      <c r="AN45" s="71" t="str">
        <f>IF(OR(COUNTBLANK(AQ45)=1,ISERROR(AQ45)),"",COUNT(AQ4:AQ45))</f>
        <v/>
      </c>
      <c r="AO45" s="7" t="e">
        <f t="shared" si="6"/>
        <v>#VALUE!</v>
      </c>
      <c r="AP45" s="1" t="str">
        <f>IF(ISERROR(INDEX(C4:C8,MATCH(H45,D4:D8,0))),"",INDEX(C4:C8,MATCH(H45,D4:D8,0)))</f>
        <v/>
      </c>
      <c r="AQ45" s="79" t="e">
        <f>IF(IF(COUNTIF(AQ4:AQ44,AQ42)&gt;=MAX(D4:D8),AQ42+3,AQ42)&gt;50,"",IF(COUNTIF(AQ4:AQ44,AQ42)&gt;=MAX(D4:D8),AQ42+3,AQ42))</f>
        <v>#VALUE!</v>
      </c>
      <c r="AR45" s="1" t="e">
        <f>IF(AQ45="","",VLOOKUP(AQ45,S4:U53,3,0))</f>
        <v>#VALUE!</v>
      </c>
      <c r="AS45" s="8" t="str">
        <f t="shared" si="7"/>
        <v/>
      </c>
      <c r="AU45" s="71" t="e">
        <f t="shared" si="8"/>
        <v>#VALUE!</v>
      </c>
      <c r="AV45" s="71" t="str">
        <f>IF(OR(COUNTBLANK(AY45)=1,ISERROR(AY45)),"",COUNT(AY4:AY45))</f>
        <v/>
      </c>
      <c r="AW45" s="7" t="e">
        <f t="shared" si="9"/>
        <v>#VALUE!</v>
      </c>
      <c r="AX45" s="1" t="str">
        <f>IF(ISERROR(INDEX(C4:C8,MATCH(I45,D4:D8,0))),"",INDEX(C4:C8,MATCH(I45,D4:D8,0)))</f>
        <v/>
      </c>
      <c r="AY45" s="79" t="e">
        <f>IF(IF(COUNTIF(AY4:AY44,AY41)&gt;=MAX(D4:D8),AY41+4,AY41)&gt;50,"",IF(COUNTIF(AY4:AY44,AY41)&gt;=MAX(D4:D8),AY41+4,AY41))</f>
        <v>#VALUE!</v>
      </c>
      <c r="AZ45" s="76" t="e">
        <f>IF(AY45="","",VLOOKUP(AY45,S4:U53,3,0))</f>
        <v>#VALUE!</v>
      </c>
      <c r="BA45" s="8" t="str">
        <f t="shared" si="10"/>
        <v/>
      </c>
      <c r="BC45" s="71" t="e">
        <f t="shared" si="11"/>
        <v>#VALUE!</v>
      </c>
      <c r="BD45" s="71" t="str">
        <f>IF(OR(COUNTBLANK(BG45)=1,ISERROR(BG45)),"",COUNT(BG4:BG45))</f>
        <v/>
      </c>
      <c r="BE45" s="7" t="e">
        <f t="shared" si="12"/>
        <v>#VALUE!</v>
      </c>
      <c r="BF45" s="1" t="str">
        <f>IF(ISERROR(INDEX(C4:C8,MATCH(J45,D4:D8,0))),"",INDEX(C4:C8,MATCH(J45,D4:D8,0)))</f>
        <v/>
      </c>
      <c r="BG45" s="79" t="e">
        <f>IF(IF(COUNTIF(BG4:BG44,BG40)&gt;=MAX(D4:D8),BG40+5,BG40)&gt;50,"",IF(COUNTIF(BG4:BG44,BG40)&gt;=MAX(D4:D8),BG40+5,BG40))</f>
        <v>#VALUE!</v>
      </c>
      <c r="BH45" s="76" t="e">
        <f>IF(BG45="","",VLOOKUP(BG45,S4:U53,3,0))</f>
        <v>#VALUE!</v>
      </c>
      <c r="BI45" s="8" t="str">
        <f t="shared" si="13"/>
        <v/>
      </c>
      <c r="BL45" s="115">
        <v>42</v>
      </c>
      <c r="BM45" s="112">
        <v>17</v>
      </c>
      <c r="BN45" s="112" t="s">
        <v>31</v>
      </c>
      <c r="BP45" s="71" t="e">
        <f>IF(BT45="","",BT45*10+2)</f>
        <v>#VALUE!</v>
      </c>
      <c r="BQ45" s="71" t="str">
        <f>IF(OR(COUNTBLANK(BT45)=1,ISERROR(BT45)),"",COUNT(BT4:BT45))</f>
        <v/>
      </c>
      <c r="BR45" s="7" t="e">
        <f t="shared" si="18"/>
        <v>#VALUE!</v>
      </c>
      <c r="BS45" s="1" t="str">
        <f t="shared" si="19"/>
        <v/>
      </c>
      <c r="BT45" s="79" t="e">
        <f>IF(IF(COUNTIF($BT$4:BT44,BT44)&gt;=MAX($D$4:$D$8),BT44+1,BT44)&gt;55,"",IF(COUNTIF($BT$4:BT44,BT44)&gt;=MAX($D$4:$D$8),BT44+1,BT44))</f>
        <v>#VALUE!</v>
      </c>
      <c r="BU45" s="1" t="e">
        <f t="shared" si="20"/>
        <v>#VALUE!</v>
      </c>
      <c r="BV45" s="8" t="str">
        <f t="shared" si="21"/>
        <v/>
      </c>
      <c r="BX45" s="71" t="e">
        <f t="shared" si="22"/>
        <v>#VALUE!</v>
      </c>
      <c r="BY45" s="71" t="str">
        <f>IF(OR(COUNTBLANK(CB45)=1,ISERROR(CB45)),"",COUNT($CB$4:CB45))</f>
        <v/>
      </c>
      <c r="BZ45" s="7" t="e">
        <f t="shared" si="23"/>
        <v>#VALUE!</v>
      </c>
      <c r="CA45" s="1" t="str">
        <f t="shared" si="24"/>
        <v/>
      </c>
      <c r="CB45" s="79" t="e">
        <f>IF(IF(COUNTIF($CB$4:CB44,CB43)&gt;=MAX($D$4:$D$8),CB43+2,CB43)&gt;55,"",IF(COUNTIF($CB$4:CB44,CB43)&gt;=MAX($D$4:$D$8),CB43+2,CB43))</f>
        <v>#VALUE!</v>
      </c>
      <c r="CC45" s="1" t="e">
        <f t="shared" si="25"/>
        <v>#VALUE!</v>
      </c>
      <c r="CD45" s="8" t="str">
        <f t="shared" si="26"/>
        <v/>
      </c>
      <c r="CF45" s="71" t="e">
        <f t="shared" si="61"/>
        <v>#VALUE!</v>
      </c>
      <c r="CG45" s="71" t="str">
        <f>IF(OR(COUNTBLANK(CJ45)=1,ISERROR(CJ45)),"",COUNT($CJ$4:CJ45))</f>
        <v/>
      </c>
      <c r="CH45" s="7" t="e">
        <f t="shared" si="62"/>
        <v>#VALUE!</v>
      </c>
      <c r="CI45" s="1" t="str">
        <f t="shared" si="63"/>
        <v/>
      </c>
      <c r="CJ45" s="79" t="e">
        <f>IF(IF(COUNTIF($CJ$4:CJ44,CJ42)&gt;=MAX($D$4:$D$8),CJ42+3,CJ42)&gt;55,"",IF(COUNTIF($CJ$4:CJ44,CJ42)&gt;=MAX($D$4:$D$8),CJ42+3,CJ42))</f>
        <v>#VALUE!</v>
      </c>
      <c r="CK45" s="1" t="e">
        <f t="shared" si="30"/>
        <v>#VALUE!</v>
      </c>
      <c r="CL45" s="8" t="str">
        <f t="shared" si="64"/>
        <v/>
      </c>
      <c r="CN45" s="71" t="e">
        <f t="shared" si="51"/>
        <v>#VALUE!</v>
      </c>
      <c r="CO45" s="71" t="str">
        <f>IF(OR(COUNTBLANK(CR45)=1,ISERROR(CR45)),"",COUNT($CR$4:CR45))</f>
        <v/>
      </c>
      <c r="CP45" s="7" t="e">
        <f t="shared" si="52"/>
        <v>#VALUE!</v>
      </c>
      <c r="CQ45" s="1" t="str">
        <f t="shared" si="53"/>
        <v/>
      </c>
      <c r="CR45" s="79" t="e">
        <f>IF(IF(COUNTIF($CR$4:CR44,CR41)&gt;=MAX($D$4:$D$8),CR41+4,CR41)&gt;55,"",IF(COUNTIF($CR$4:CR44,CR41)&gt;=MAX($D$4:$D$8),CR41+4,CR41))</f>
        <v>#VALUE!</v>
      </c>
      <c r="CS45" s="1" t="e">
        <f t="shared" si="35"/>
        <v>#VALUE!</v>
      </c>
      <c r="CT45" s="8" t="str">
        <f t="shared" si="54"/>
        <v/>
      </c>
      <c r="CV45" s="71" t="e">
        <f t="shared" si="65"/>
        <v>#VALUE!</v>
      </c>
      <c r="CW45" s="71" t="str">
        <f>IF(OR(COUNTBLANK(CZ45)=1,ISERROR(CZ45)),"",COUNT($CZ$4:CZ45))</f>
        <v/>
      </c>
      <c r="CX45" s="7" t="e">
        <f t="shared" si="66"/>
        <v>#VALUE!</v>
      </c>
      <c r="CY45" s="1" t="str">
        <f t="shared" si="67"/>
        <v/>
      </c>
      <c r="CZ45" s="79" t="e">
        <f>IF(IF(COUNTIF($CZ$4:CZ44,CZ40)&gt;=MAX($D$4:$D$8),CZ40+5,CZ40)&gt;55,"",IF(COUNTIF($CZ$4:CZ44,CZ40)&gt;=MAX($D$4:$D$8),CZ40+5,CZ40))</f>
        <v>#VALUE!</v>
      </c>
      <c r="DA45" s="1" t="e">
        <f t="shared" si="40"/>
        <v>#VALUE!</v>
      </c>
      <c r="DB45" s="8" t="str">
        <f t="shared" si="68"/>
        <v/>
      </c>
    </row>
    <row r="46" spans="5:106" x14ac:dyDescent="0.15">
      <c r="E46" s="1">
        <v>43</v>
      </c>
      <c r="F46" s="1">
        <f t="shared" si="42"/>
        <v>1</v>
      </c>
      <c r="G46" s="1">
        <f t="shared" si="60"/>
        <v>1</v>
      </c>
      <c r="H46" s="1">
        <f t="shared" si="45"/>
        <v>1</v>
      </c>
      <c r="I46" s="1">
        <f t="shared" si="50"/>
        <v>1</v>
      </c>
      <c r="J46" s="1">
        <f t="shared" si="55"/>
        <v>1</v>
      </c>
      <c r="L46" s="1" t="str">
        <f>IF(ISERROR(HLOOKUP($C$10,$F$3:$J$253,44,0)),"",HLOOKUP($C$10,$F$3:$J$253,44,0))</f>
        <v/>
      </c>
      <c r="S46" s="9">
        <v>43</v>
      </c>
      <c r="T46" s="1">
        <v>23</v>
      </c>
      <c r="U46" s="1" t="s">
        <v>37</v>
      </c>
      <c r="W46" s="71" t="e">
        <f>IF(AA46="","",AA46*10+3)</f>
        <v>#VALUE!</v>
      </c>
      <c r="X46" s="71" t="str">
        <f>IF(OR(COUNTBLANK(AA46)=1,ISERROR(AA46)),"",COUNT(AA4:AA46))</f>
        <v/>
      </c>
      <c r="Y46" s="7" t="e">
        <f t="shared" si="0"/>
        <v>#VALUE!</v>
      </c>
      <c r="Z46" s="1" t="str">
        <f t="shared" si="17"/>
        <v/>
      </c>
      <c r="AA46" s="79" t="e">
        <f>IF(IF(COUNTIF(AA4:AA45,AA45)&gt;=MAX(D4:D8),AA45+1,AA45)&gt;50,"",IF(COUNTIF(AA4:AA45,AA45)&gt;=MAX(D4:D8),AA45+1,AA45))</f>
        <v>#VALUE!</v>
      </c>
      <c r="AB46" s="1" t="e">
        <f>IF(AA46="","",VLOOKUP(AA46,S4:U53,3,0))</f>
        <v>#VALUE!</v>
      </c>
      <c r="AC46" s="8" t="str">
        <f t="shared" si="1"/>
        <v/>
      </c>
      <c r="AE46" s="71" t="e">
        <f t="shared" si="2"/>
        <v>#VALUE!</v>
      </c>
      <c r="AF46" s="71" t="str">
        <f>IF(OR(COUNTBLANK(AI46)=1,ISERROR(AI46)),"",COUNT(AI4:AI46))</f>
        <v/>
      </c>
      <c r="AG46" s="7" t="e">
        <f t="shared" si="3"/>
        <v>#VALUE!</v>
      </c>
      <c r="AH46" s="1" t="str">
        <f>IF(ISERROR(INDEX(C4:C8,MATCH(G46,D4:D8,0))),"",INDEX(C4:C8,MATCH(G46,D4:D8,0)))</f>
        <v/>
      </c>
      <c r="AI46" s="79" t="e">
        <f>IF(IF(COUNTIF(AI4:AI45,AI44)&gt;=MAX(D4:D8),AI44+2,AI44)&gt;50,"",IF(COUNTIF(AI4:AI45,AI44)&gt;=MAX(D4:D8),AI44+2,AI44))</f>
        <v>#VALUE!</v>
      </c>
      <c r="AJ46" s="1" t="e">
        <f>IF(AI46="","",VLOOKUP(AI46,S4:U53,3,0))</f>
        <v>#VALUE!</v>
      </c>
      <c r="AK46" s="8" t="str">
        <f t="shared" si="4"/>
        <v/>
      </c>
      <c r="AM46" s="71" t="e">
        <f t="shared" si="5"/>
        <v>#VALUE!</v>
      </c>
      <c r="AN46" s="71" t="str">
        <f>IF(OR(COUNTBLANK(AQ46)=1,ISERROR(AQ46)),"",COUNT(AQ4:AQ46))</f>
        <v/>
      </c>
      <c r="AO46" s="7" t="e">
        <f t="shared" si="6"/>
        <v>#VALUE!</v>
      </c>
      <c r="AP46" s="1" t="str">
        <f>IF(ISERROR(INDEX(C4:C8,MATCH(H46,D4:D8,0))),"",INDEX(C4:C8,MATCH(H46,D4:D8,0)))</f>
        <v/>
      </c>
      <c r="AQ46" s="79" t="e">
        <f>IF(IF(COUNTIF(AQ4:AQ45,AQ43)&gt;=MAX(D4:D8),AQ43+3,AQ43)&gt;50,"",IF(COUNTIF(AQ4:AQ45,AQ43)&gt;=MAX(D4:D8),AQ43+3,AQ43))</f>
        <v>#VALUE!</v>
      </c>
      <c r="AR46" s="1" t="e">
        <f>IF(AQ46="","",VLOOKUP(AQ46,S4:U53,3,0))</f>
        <v>#VALUE!</v>
      </c>
      <c r="AS46" s="8" t="str">
        <f t="shared" si="7"/>
        <v/>
      </c>
      <c r="AU46" s="71" t="e">
        <f t="shared" si="8"/>
        <v>#VALUE!</v>
      </c>
      <c r="AV46" s="71" t="str">
        <f>IF(OR(COUNTBLANK(AY46)=1,ISERROR(AY46)),"",COUNT(AY4:AY46))</f>
        <v/>
      </c>
      <c r="AW46" s="7" t="e">
        <f t="shared" si="9"/>
        <v>#VALUE!</v>
      </c>
      <c r="AX46" s="1" t="str">
        <f>IF(ISERROR(INDEX(C4:C8,MATCH(I46,D4:D8,0))),"",INDEX(C4:C8,MATCH(I46,D4:D8,0)))</f>
        <v/>
      </c>
      <c r="AY46" s="79" t="e">
        <f>IF(IF(COUNTIF(AY4:AY45,AY42)&gt;=MAX(D4:D8),AY42+4,AY42)&gt;50,"",IF(COUNTIF(AY4:AY45,AY42)&gt;=MAX(D4:D8),AY42+4,AY42))</f>
        <v>#VALUE!</v>
      </c>
      <c r="AZ46" s="76" t="e">
        <f>IF(AY46="","",VLOOKUP(AY46,S4:U53,3,0))</f>
        <v>#VALUE!</v>
      </c>
      <c r="BA46" s="8" t="str">
        <f t="shared" si="10"/>
        <v/>
      </c>
      <c r="BC46" s="71" t="e">
        <f t="shared" si="11"/>
        <v>#VALUE!</v>
      </c>
      <c r="BD46" s="71" t="str">
        <f>IF(OR(COUNTBLANK(BG46)=1,ISERROR(BG46)),"",COUNT(BG4:BG46))</f>
        <v/>
      </c>
      <c r="BE46" s="7" t="e">
        <f t="shared" si="12"/>
        <v>#VALUE!</v>
      </c>
      <c r="BF46" s="1" t="str">
        <f>IF(ISERROR(INDEX(C4:C8,MATCH(J46,D4:D8,0))),"",INDEX(C4:C8,MATCH(J46,D4:D8,0)))</f>
        <v/>
      </c>
      <c r="BG46" s="79" t="e">
        <f>IF(IF(COUNTIF(BG4:BG45,BG41)&gt;=MAX(D4:D8),BG41+5,BG41)&gt;50,"",IF(COUNTIF(BG4:BG45,BG41)&gt;=MAX(D4:D8),BG41+5,BG41))</f>
        <v>#VALUE!</v>
      </c>
      <c r="BH46" s="76" t="e">
        <f>IF(BG46="","",VLOOKUP(BG46,S4:U53,3,0))</f>
        <v>#VALUE!</v>
      </c>
      <c r="BI46" s="8" t="str">
        <f t="shared" si="13"/>
        <v/>
      </c>
      <c r="BL46" s="115">
        <v>43</v>
      </c>
      <c r="BM46" s="112">
        <v>18</v>
      </c>
      <c r="BN46" s="112" t="s">
        <v>32</v>
      </c>
      <c r="BP46" s="71" t="e">
        <f>IF(BT46="","",BT46*10+3)</f>
        <v>#VALUE!</v>
      </c>
      <c r="BQ46" s="71" t="str">
        <f>IF(OR(COUNTBLANK(BT46)=1,ISERROR(BT46)),"",COUNT(BT4:BT46))</f>
        <v/>
      </c>
      <c r="BR46" s="7" t="e">
        <f t="shared" si="18"/>
        <v>#VALUE!</v>
      </c>
      <c r="BS46" s="1" t="str">
        <f t="shared" si="19"/>
        <v/>
      </c>
      <c r="BT46" s="79" t="e">
        <f>IF(IF(COUNTIF($BT$4:BT45,BT45)&gt;=MAX($D$4:$D$8),BT45+1,BT45)&gt;55,"",IF(COUNTIF($BT$4:BT45,BT45)&gt;=MAX($D$4:$D$8),BT45+1,BT45))</f>
        <v>#VALUE!</v>
      </c>
      <c r="BU46" s="1" t="e">
        <f t="shared" si="20"/>
        <v>#VALUE!</v>
      </c>
      <c r="BV46" s="8" t="str">
        <f t="shared" si="21"/>
        <v/>
      </c>
      <c r="BX46" s="71" t="e">
        <f t="shared" si="22"/>
        <v>#VALUE!</v>
      </c>
      <c r="BY46" s="71" t="str">
        <f>IF(OR(COUNTBLANK(CB46)=1,ISERROR(CB46)),"",COUNT($CB$4:CB46))</f>
        <v/>
      </c>
      <c r="BZ46" s="7" t="e">
        <f t="shared" si="23"/>
        <v>#VALUE!</v>
      </c>
      <c r="CA46" s="1" t="str">
        <f t="shared" si="24"/>
        <v/>
      </c>
      <c r="CB46" s="79" t="e">
        <f>IF(IF(COUNTIF($CB$4:CB45,CB44)&gt;=MAX($D$4:$D$8),CB44+2,CB44)&gt;55,"",IF(COUNTIF($CB$4:CB45,CB44)&gt;=MAX($D$4:$D$8),CB44+2,CB44))</f>
        <v>#VALUE!</v>
      </c>
      <c r="CC46" s="1" t="e">
        <f t="shared" si="25"/>
        <v>#VALUE!</v>
      </c>
      <c r="CD46" s="8" t="str">
        <f t="shared" si="26"/>
        <v/>
      </c>
      <c r="CF46" s="71" t="e">
        <f t="shared" si="61"/>
        <v>#VALUE!</v>
      </c>
      <c r="CG46" s="71" t="str">
        <f>IF(OR(COUNTBLANK(CJ46)=1,ISERROR(CJ46)),"",COUNT($CJ$4:CJ46))</f>
        <v/>
      </c>
      <c r="CH46" s="7" t="e">
        <f t="shared" si="62"/>
        <v>#VALUE!</v>
      </c>
      <c r="CI46" s="1" t="str">
        <f t="shared" si="63"/>
        <v/>
      </c>
      <c r="CJ46" s="79" t="e">
        <f>IF(IF(COUNTIF($CJ$4:CJ45,CJ43)&gt;=MAX($D$4:$D$8),CJ43+3,CJ43)&gt;55,"",IF(COUNTIF($CJ$4:CJ45,CJ43)&gt;=MAX($D$4:$D$8),CJ43+3,CJ43))</f>
        <v>#VALUE!</v>
      </c>
      <c r="CK46" s="1" t="e">
        <f t="shared" si="30"/>
        <v>#VALUE!</v>
      </c>
      <c r="CL46" s="8" t="str">
        <f t="shared" si="64"/>
        <v/>
      </c>
      <c r="CN46" s="71" t="e">
        <f t="shared" si="51"/>
        <v>#VALUE!</v>
      </c>
      <c r="CO46" s="71" t="str">
        <f>IF(OR(COUNTBLANK(CR46)=1,ISERROR(CR46)),"",COUNT($CR$4:CR46))</f>
        <v/>
      </c>
      <c r="CP46" s="7" t="e">
        <f t="shared" si="52"/>
        <v>#VALUE!</v>
      </c>
      <c r="CQ46" s="1" t="str">
        <f t="shared" si="53"/>
        <v/>
      </c>
      <c r="CR46" s="79" t="e">
        <f>IF(IF(COUNTIF($CR$4:CR45,CR42)&gt;=MAX($D$4:$D$8),CR42+4,CR42)&gt;55,"",IF(COUNTIF($CR$4:CR45,CR42)&gt;=MAX($D$4:$D$8),CR42+4,CR42))</f>
        <v>#VALUE!</v>
      </c>
      <c r="CS46" s="1" t="e">
        <f t="shared" si="35"/>
        <v>#VALUE!</v>
      </c>
      <c r="CT46" s="8" t="str">
        <f t="shared" si="54"/>
        <v/>
      </c>
      <c r="CV46" s="71" t="e">
        <f t="shared" si="65"/>
        <v>#VALUE!</v>
      </c>
      <c r="CW46" s="71" t="str">
        <f>IF(OR(COUNTBLANK(CZ46)=1,ISERROR(CZ46)),"",COUNT($CZ$4:CZ46))</f>
        <v/>
      </c>
      <c r="CX46" s="7" t="e">
        <f t="shared" si="66"/>
        <v>#VALUE!</v>
      </c>
      <c r="CY46" s="1" t="str">
        <f t="shared" si="67"/>
        <v/>
      </c>
      <c r="CZ46" s="79" t="e">
        <f>IF(IF(COUNTIF($CZ$4:CZ45,CZ41)&gt;=MAX($D$4:$D$8),CZ41+5,CZ41)&gt;55,"",IF(COUNTIF($CZ$4:CZ45,CZ41)&gt;=MAX($D$4:$D$8),CZ41+5,CZ41))</f>
        <v>#VALUE!</v>
      </c>
      <c r="DA46" s="1" t="e">
        <f t="shared" si="40"/>
        <v>#VALUE!</v>
      </c>
      <c r="DB46" s="8" t="str">
        <f t="shared" si="68"/>
        <v/>
      </c>
    </row>
    <row r="47" spans="5:106" x14ac:dyDescent="0.15">
      <c r="E47" s="1">
        <v>44</v>
      </c>
      <c r="F47" s="1">
        <f t="shared" si="42"/>
        <v>1</v>
      </c>
      <c r="G47" s="1">
        <f t="shared" si="60"/>
        <v>1</v>
      </c>
      <c r="H47" s="1">
        <f t="shared" si="45"/>
        <v>1</v>
      </c>
      <c r="I47" s="1">
        <f t="shared" si="50"/>
        <v>1</v>
      </c>
      <c r="J47" s="1">
        <f t="shared" si="55"/>
        <v>1</v>
      </c>
      <c r="L47" s="1" t="str">
        <f>IF(ISERROR(HLOOKUP($C$10,$F$3:$J$253,45,0)),"",HLOOKUP($C$10,$F$3:$J$253,45,0))</f>
        <v/>
      </c>
      <c r="S47" s="9">
        <v>44</v>
      </c>
      <c r="T47" s="1">
        <v>24</v>
      </c>
      <c r="U47" s="1" t="s">
        <v>38</v>
      </c>
      <c r="W47" s="71" t="e">
        <f>IF(AA47="","",AA47*10+4)</f>
        <v>#VALUE!</v>
      </c>
      <c r="X47" s="71" t="str">
        <f>IF(OR(COUNTBLANK(AA47)=1,ISERROR(AA47)),"",COUNT(AA4:AA47))</f>
        <v/>
      </c>
      <c r="Y47" s="7" t="e">
        <f t="shared" si="0"/>
        <v>#VALUE!</v>
      </c>
      <c r="Z47" s="1" t="str">
        <f t="shared" si="17"/>
        <v/>
      </c>
      <c r="AA47" s="79" t="e">
        <f>IF(IF(COUNTIF(AA4:AA46,AA46)&gt;=MAX(D4:D8),AA46+1,AA46)&gt;50,"",IF(COUNTIF(AA4:AA46,AA46)&gt;=MAX(D4:D8),AA46+1,AA46))</f>
        <v>#VALUE!</v>
      </c>
      <c r="AB47" s="1" t="e">
        <f>IF(AA47="","",VLOOKUP(AA47,S4:U53,3,0))</f>
        <v>#VALUE!</v>
      </c>
      <c r="AC47" s="8" t="str">
        <f t="shared" si="1"/>
        <v/>
      </c>
      <c r="AE47" s="71" t="e">
        <f t="shared" si="2"/>
        <v>#VALUE!</v>
      </c>
      <c r="AF47" s="71" t="str">
        <f>IF(OR(COUNTBLANK(AI47)=1,ISERROR(AI47)),"",COUNT(AI4:AI47))</f>
        <v/>
      </c>
      <c r="AG47" s="7" t="e">
        <f t="shared" si="3"/>
        <v>#VALUE!</v>
      </c>
      <c r="AH47" s="1" t="str">
        <f>IF(ISERROR(INDEX(C4:C8,MATCH(G47,D4:D8,0))),"",INDEX(C4:C8,MATCH(G47,D4:D8,0)))</f>
        <v/>
      </c>
      <c r="AI47" s="79" t="e">
        <f>IF(IF(COUNTIF(AI4:AI45,AI45)&gt;=MAX(D4:D8),AI45+2,AI45)&gt;50,"",IF(COUNTIF(AI4:AI45,AI45)&gt;=MAX(D4:D8),AI45+2,AI45))</f>
        <v>#VALUE!</v>
      </c>
      <c r="AJ47" s="1" t="e">
        <f>IF(AI47="","",VLOOKUP(AI47,S4:U53,3,0))</f>
        <v>#VALUE!</v>
      </c>
      <c r="AK47" s="8" t="str">
        <f t="shared" si="4"/>
        <v/>
      </c>
      <c r="AM47" s="71" t="e">
        <f t="shared" si="5"/>
        <v>#VALUE!</v>
      </c>
      <c r="AN47" s="71" t="str">
        <f>IF(OR(COUNTBLANK(AQ47)=1,ISERROR(AQ47)),"",COUNT(AQ4:AQ47))</f>
        <v/>
      </c>
      <c r="AO47" s="7" t="e">
        <f t="shared" si="6"/>
        <v>#VALUE!</v>
      </c>
      <c r="AP47" s="1" t="str">
        <f>IF(ISERROR(INDEX(C4:C8,MATCH(H47,D4:D8,0))),"",INDEX(C4:C8,MATCH(H47,D4:D8,0)))</f>
        <v/>
      </c>
      <c r="AQ47" s="79" t="e">
        <f>IF(IF(COUNTIF(AQ4:AQ46,AQ44)&gt;=MAX(D4:D8),AQ44+3,AQ44)&gt;50,"",IF(COUNTIF(AQ4:AQ46,AQ44)&gt;=MAX(D4:D8),AQ44+3,AQ44))</f>
        <v>#VALUE!</v>
      </c>
      <c r="AR47" s="1" t="e">
        <f>IF(AQ47="","",VLOOKUP(AQ47,S4:U53,3,0))</f>
        <v>#VALUE!</v>
      </c>
      <c r="AS47" s="8" t="str">
        <f t="shared" si="7"/>
        <v/>
      </c>
      <c r="AU47" s="71" t="e">
        <f t="shared" si="8"/>
        <v>#VALUE!</v>
      </c>
      <c r="AV47" s="71" t="str">
        <f>IF(OR(COUNTBLANK(AY47)=1,ISERROR(AY47)),"",COUNT(AY4:AY47))</f>
        <v/>
      </c>
      <c r="AW47" s="7" t="e">
        <f t="shared" si="9"/>
        <v>#VALUE!</v>
      </c>
      <c r="AX47" s="1" t="str">
        <f>IF(ISERROR(INDEX(C4:C8,MATCH(I47,D4:D8,0))),"",INDEX(C4:C8,MATCH(I47,D4:D8,0)))</f>
        <v/>
      </c>
      <c r="AY47" s="79" t="e">
        <f>IF(IF(COUNTIF(AY4:AY46,AY43)&gt;=MAX(D4:D8),AY43+4,AY43)&gt;50,"",IF(COUNTIF(AY4:AY46,AY43)&gt;=MAX(D4:D8),AY43+4,AY43))</f>
        <v>#VALUE!</v>
      </c>
      <c r="AZ47" s="76" t="e">
        <f>IF(AY47="","",VLOOKUP(AY47,S4:U53,3,0))</f>
        <v>#VALUE!</v>
      </c>
      <c r="BA47" s="8" t="str">
        <f t="shared" si="10"/>
        <v/>
      </c>
      <c r="BC47" s="71" t="e">
        <f t="shared" si="11"/>
        <v>#VALUE!</v>
      </c>
      <c r="BD47" s="71" t="str">
        <f>IF(OR(COUNTBLANK(BG47)=1,ISERROR(BG47)),"",COUNT(BG4:BG47))</f>
        <v/>
      </c>
      <c r="BE47" s="7" t="e">
        <f t="shared" si="12"/>
        <v>#VALUE!</v>
      </c>
      <c r="BF47" s="1" t="str">
        <f>IF(ISERROR(INDEX(C4:C8,MATCH(J47,D4:D8,0))),"",INDEX(C4:C8,MATCH(J47,D4:D8,0)))</f>
        <v/>
      </c>
      <c r="BG47" s="79" t="e">
        <f>IF(IF(COUNTIF(BG4:BG46,BG42)&gt;=MAX(D4:D8),BG42+5,BG42)&gt;50,"",IF(COUNTIF(BG4:BG46,BG42)&gt;=MAX(D4:D8),BG42+5,BG42))</f>
        <v>#VALUE!</v>
      </c>
      <c r="BH47" s="76" t="e">
        <f>IF(BG47="","",VLOOKUP(BG47,S4:U53,3,0))</f>
        <v>#VALUE!</v>
      </c>
      <c r="BI47" s="8" t="str">
        <f t="shared" si="13"/>
        <v/>
      </c>
      <c r="BL47" s="115">
        <v>44</v>
      </c>
      <c r="BM47" s="112">
        <v>19</v>
      </c>
      <c r="BN47" s="112" t="s">
        <v>33</v>
      </c>
      <c r="BP47" s="71" t="e">
        <f>IF(BT47="","",BT47*10+4)</f>
        <v>#VALUE!</v>
      </c>
      <c r="BQ47" s="71" t="str">
        <f>IF(OR(COUNTBLANK(BT47)=1,ISERROR(BT47)),"",COUNT(BT4:BT47))</f>
        <v/>
      </c>
      <c r="BR47" s="7" t="e">
        <f t="shared" si="18"/>
        <v>#VALUE!</v>
      </c>
      <c r="BS47" s="1" t="str">
        <f t="shared" si="19"/>
        <v/>
      </c>
      <c r="BT47" s="79" t="e">
        <f>IF(IF(COUNTIF($BT$4:BT46,BT46)&gt;=MAX($D$4:$D$8),BT46+1,BT46)&gt;55,"",IF(COUNTIF($BT$4:BT46,BT46)&gt;=MAX($D$4:$D$8),BT46+1,BT46))</f>
        <v>#VALUE!</v>
      </c>
      <c r="BU47" s="1" t="e">
        <f t="shared" si="20"/>
        <v>#VALUE!</v>
      </c>
      <c r="BV47" s="8" t="str">
        <f t="shared" si="21"/>
        <v/>
      </c>
      <c r="BX47" s="71" t="e">
        <f t="shared" si="22"/>
        <v>#VALUE!</v>
      </c>
      <c r="BY47" s="71" t="str">
        <f>IF(OR(COUNTBLANK(CB47)=1,ISERROR(CB47)),"",COUNT($CB$4:CB47))</f>
        <v/>
      </c>
      <c r="BZ47" s="7" t="e">
        <f t="shared" si="23"/>
        <v>#VALUE!</v>
      </c>
      <c r="CA47" s="1" t="str">
        <f t="shared" si="24"/>
        <v/>
      </c>
      <c r="CB47" s="79" t="e">
        <f>IF(IF(COUNTIF($CB$4:CB46,CB45)&gt;=MAX($D$4:$D$8),CB45+2,CB45)&gt;55,"",IF(COUNTIF($CB$4:CB46,CB45)&gt;=MAX($D$4:$D$8),CB45+2,CB45))</f>
        <v>#VALUE!</v>
      </c>
      <c r="CC47" s="1" t="e">
        <f t="shared" si="25"/>
        <v>#VALUE!</v>
      </c>
      <c r="CD47" s="8" t="str">
        <f t="shared" si="26"/>
        <v/>
      </c>
      <c r="CF47" s="71" t="e">
        <f t="shared" si="61"/>
        <v>#VALUE!</v>
      </c>
      <c r="CG47" s="71" t="str">
        <f>IF(OR(COUNTBLANK(CJ47)=1,ISERROR(CJ47)),"",COUNT($CJ$4:CJ47))</f>
        <v/>
      </c>
      <c r="CH47" s="7" t="e">
        <f t="shared" si="62"/>
        <v>#VALUE!</v>
      </c>
      <c r="CI47" s="1" t="str">
        <f t="shared" si="63"/>
        <v/>
      </c>
      <c r="CJ47" s="79" t="e">
        <f>IF(IF(COUNTIF($CJ$4:CJ46,CJ44)&gt;=MAX($D$4:$D$8),CJ44+3,CJ44)&gt;55,"",IF(COUNTIF($CJ$4:CJ46,CJ44)&gt;=MAX($D$4:$D$8),CJ44+3,CJ44))</f>
        <v>#VALUE!</v>
      </c>
      <c r="CK47" s="1" t="e">
        <f t="shared" si="30"/>
        <v>#VALUE!</v>
      </c>
      <c r="CL47" s="8" t="str">
        <f t="shared" si="64"/>
        <v/>
      </c>
      <c r="CN47" s="71" t="e">
        <f t="shared" si="51"/>
        <v>#VALUE!</v>
      </c>
      <c r="CO47" s="71" t="str">
        <f>IF(OR(COUNTBLANK(CR47)=1,ISERROR(CR47)),"",COUNT($CR$4:CR47))</f>
        <v/>
      </c>
      <c r="CP47" s="7" t="e">
        <f t="shared" si="52"/>
        <v>#VALUE!</v>
      </c>
      <c r="CQ47" s="1" t="str">
        <f t="shared" si="53"/>
        <v/>
      </c>
      <c r="CR47" s="79" t="e">
        <f>IF(IF(COUNTIF($CR$4:CR46,CR43)&gt;=MAX($D$4:$D$8),CR43+4,CR43)&gt;55,"",IF(COUNTIF($CR$4:CR46,CR43)&gt;=MAX($D$4:$D$8),CR43+4,CR43))</f>
        <v>#VALUE!</v>
      </c>
      <c r="CS47" s="1" t="e">
        <f t="shared" si="35"/>
        <v>#VALUE!</v>
      </c>
      <c r="CT47" s="8" t="str">
        <f t="shared" si="54"/>
        <v/>
      </c>
      <c r="CV47" s="71" t="e">
        <f t="shared" si="65"/>
        <v>#VALUE!</v>
      </c>
      <c r="CW47" s="71" t="str">
        <f>IF(OR(COUNTBLANK(CZ47)=1,ISERROR(CZ47)),"",COUNT($CZ$4:CZ47))</f>
        <v/>
      </c>
      <c r="CX47" s="7" t="e">
        <f t="shared" si="66"/>
        <v>#VALUE!</v>
      </c>
      <c r="CY47" s="1" t="str">
        <f t="shared" si="67"/>
        <v/>
      </c>
      <c r="CZ47" s="79" t="e">
        <f>IF(IF(COUNTIF($CZ$4:CZ46,CZ42)&gt;=MAX($D$4:$D$8),CZ42+5,CZ42)&gt;55,"",IF(COUNTIF($CZ$4:CZ46,CZ42)&gt;=MAX($D$4:$D$8),CZ42+5,CZ42))</f>
        <v>#VALUE!</v>
      </c>
      <c r="DA47" s="1" t="e">
        <f t="shared" si="40"/>
        <v>#VALUE!</v>
      </c>
      <c r="DB47" s="8" t="str">
        <f t="shared" si="68"/>
        <v/>
      </c>
    </row>
    <row r="48" spans="5:106" x14ac:dyDescent="0.15">
      <c r="E48" s="1">
        <v>45</v>
      </c>
      <c r="F48" s="1">
        <f t="shared" si="42"/>
        <v>1</v>
      </c>
      <c r="G48" s="1">
        <f t="shared" si="60"/>
        <v>1</v>
      </c>
      <c r="H48" s="1">
        <f t="shared" si="45"/>
        <v>1</v>
      </c>
      <c r="I48" s="1">
        <f t="shared" si="50"/>
        <v>1</v>
      </c>
      <c r="J48" s="1">
        <f t="shared" si="55"/>
        <v>1</v>
      </c>
      <c r="L48" s="1" t="str">
        <f>IF(ISERROR(HLOOKUP($C$10,$F$3:$J$253,46,0)),"",HLOOKUP($C$10,$F$3:$J$253,46,0))</f>
        <v/>
      </c>
      <c r="S48" s="9">
        <v>45</v>
      </c>
      <c r="T48" s="1">
        <v>25</v>
      </c>
      <c r="U48" s="1" t="s">
        <v>39</v>
      </c>
      <c r="W48" s="71" t="e">
        <f>IF(AA48="","",AA48*10+5)</f>
        <v>#VALUE!</v>
      </c>
      <c r="X48" s="71" t="str">
        <f>IF(OR(COUNTBLANK(AA48)=1,ISERROR(AA48)),"",COUNT(AA4:AA48))</f>
        <v/>
      </c>
      <c r="Y48" s="7" t="e">
        <f t="shared" si="0"/>
        <v>#VALUE!</v>
      </c>
      <c r="Z48" s="1" t="str">
        <f t="shared" si="17"/>
        <v/>
      </c>
      <c r="AA48" s="79" t="e">
        <f>IF(IF(COUNTIF(AA4:AA47,AA47)&gt;=MAX(D4:D8),AA47+1,AA47)&gt;50,"",IF(COUNTIF(AA4:AA47,AA47)&gt;=MAX(D4:D8),AA47+1,AA47))</f>
        <v>#VALUE!</v>
      </c>
      <c r="AB48" s="1" t="e">
        <f>IF(AA48="","",VLOOKUP(AA48,S4:U53,3,0))</f>
        <v>#VALUE!</v>
      </c>
      <c r="AC48" s="8" t="str">
        <f t="shared" si="1"/>
        <v/>
      </c>
      <c r="AE48" s="71" t="e">
        <f t="shared" si="2"/>
        <v>#VALUE!</v>
      </c>
      <c r="AF48" s="71" t="str">
        <f>IF(OR(COUNTBLANK(AI48)=1,ISERROR(AI48)),"",COUNT(AI4:AI48))</f>
        <v/>
      </c>
      <c r="AG48" s="7" t="e">
        <f t="shared" si="3"/>
        <v>#VALUE!</v>
      </c>
      <c r="AH48" s="1" t="str">
        <f>IF(ISERROR(INDEX(C4:C8,MATCH(G48,D4:D8,0))),"",INDEX(C4:C8,MATCH(G48,D4:D8,0)))</f>
        <v/>
      </c>
      <c r="AI48" s="79" t="e">
        <f>IF(IF(COUNTIF(AI4:AI47,AI46)&gt;=MAX(D4:D8),AI46+2,AI46)&gt;50,"",IF(COUNTIF(AI4:AI47,AI46)&gt;=MAX(D4:D8),AI46+2,AI46))</f>
        <v>#VALUE!</v>
      </c>
      <c r="AJ48" s="1" t="e">
        <f>IF(AI48="","",VLOOKUP(AI48,S4:U53,3,0))</f>
        <v>#VALUE!</v>
      </c>
      <c r="AK48" s="8" t="str">
        <f t="shared" si="4"/>
        <v/>
      </c>
      <c r="AM48" s="71" t="e">
        <f t="shared" si="5"/>
        <v>#VALUE!</v>
      </c>
      <c r="AN48" s="71" t="str">
        <f>IF(OR(COUNTBLANK(AQ48)=1,ISERROR(AQ48)),"",COUNT(AQ4:AQ48))</f>
        <v/>
      </c>
      <c r="AO48" s="7" t="e">
        <f t="shared" si="6"/>
        <v>#VALUE!</v>
      </c>
      <c r="AP48" s="1" t="str">
        <f>IF(ISERROR(INDEX(C4:C8,MATCH(H48,D4:D8,0))),"",INDEX(C4:C8,MATCH(H48,D4:D8,0)))</f>
        <v/>
      </c>
      <c r="AQ48" s="79" t="e">
        <f>IF(IF(COUNTIF(AQ4:AQ47,AQ45)&gt;=MAX(D4:D8),AQ45+3,AQ45)&gt;50,"",IF(COUNTIF(AQ4:AQ47,AQ45)&gt;=MAX(D4:D8),AQ45+3,AQ45))</f>
        <v>#VALUE!</v>
      </c>
      <c r="AR48" s="1" t="e">
        <f>IF(AQ48="","",VLOOKUP(AQ48,S4:U53,3,0))</f>
        <v>#VALUE!</v>
      </c>
      <c r="AS48" s="8" t="str">
        <f t="shared" si="7"/>
        <v/>
      </c>
      <c r="AU48" s="71" t="e">
        <f t="shared" si="8"/>
        <v>#VALUE!</v>
      </c>
      <c r="AV48" s="71" t="str">
        <f>IF(OR(COUNTBLANK(AY48)=1,ISERROR(AY48)),"",COUNT(AY4:AY48))</f>
        <v/>
      </c>
      <c r="AW48" s="7" t="e">
        <f t="shared" si="9"/>
        <v>#VALUE!</v>
      </c>
      <c r="AX48" s="1" t="str">
        <f>IF(ISERROR(INDEX(C4:C8,MATCH(I48,D4:D8,0))),"",INDEX(C4:C8,MATCH(I48,D4:D8,0)))</f>
        <v/>
      </c>
      <c r="AY48" s="79" t="e">
        <f>IF(IF(COUNTIF(AY4:AY47,AY44)&gt;=MAX(D4:D8),AY44+4,AY44)&gt;50,"",IF(COUNTIF(AY4:AY47,AY44)&gt;=MAX(D4:D8),AY44+4,AY44))</f>
        <v>#VALUE!</v>
      </c>
      <c r="AZ48" s="76" t="e">
        <f>IF(AY48="","",VLOOKUP(AY48,S4:U53,3,0))</f>
        <v>#VALUE!</v>
      </c>
      <c r="BA48" s="8" t="str">
        <f t="shared" si="10"/>
        <v/>
      </c>
      <c r="BC48" s="71" t="e">
        <f t="shared" si="11"/>
        <v>#VALUE!</v>
      </c>
      <c r="BD48" s="71" t="str">
        <f>IF(OR(COUNTBLANK(BG48)=1,ISERROR(BG48)),"",COUNT(BG4:BG48))</f>
        <v/>
      </c>
      <c r="BE48" s="7" t="e">
        <f t="shared" si="12"/>
        <v>#VALUE!</v>
      </c>
      <c r="BF48" s="1" t="str">
        <f>IF(ISERROR(INDEX(C4:C8,MATCH(J48,D4:D8,0))),"",INDEX(C4:C8,MATCH(J48,D4:D8,0)))</f>
        <v/>
      </c>
      <c r="BG48" s="79" t="e">
        <f>IF(IF(COUNTIF(BG4:BG47,BG43)&gt;=MAX(D4:D8),BG43+5,BG43)&gt;50,"",IF(COUNTIF(BG4:BG47,BG43)&gt;=MAX(D4:D8),BG43+5,BG43))</f>
        <v>#VALUE!</v>
      </c>
      <c r="BH48" s="76" t="e">
        <f>IF(BG48="","",VLOOKUP(BG48,S4:U53,3,0))</f>
        <v>#VALUE!</v>
      </c>
      <c r="BI48" s="8" t="str">
        <f t="shared" si="13"/>
        <v/>
      </c>
      <c r="BL48" s="115">
        <v>45</v>
      </c>
      <c r="BM48" s="112">
        <v>20</v>
      </c>
      <c r="BN48" s="112" t="s">
        <v>34</v>
      </c>
      <c r="BP48" s="71" t="e">
        <f>IF(BT48="","",BT48*10+5)</f>
        <v>#VALUE!</v>
      </c>
      <c r="BQ48" s="71" t="str">
        <f>IF(OR(COUNTBLANK(BT48)=1,ISERROR(BT48)),"",COUNT(BT4:BT48))</f>
        <v/>
      </c>
      <c r="BR48" s="7" t="e">
        <f t="shared" si="18"/>
        <v>#VALUE!</v>
      </c>
      <c r="BS48" s="1" t="str">
        <f t="shared" si="19"/>
        <v/>
      </c>
      <c r="BT48" s="79" t="e">
        <f>IF(IF(COUNTIF($BT$4:BT47,BT47)&gt;=MAX($D$4:$D$8),BT47+1,BT47)&gt;55,"",IF(COUNTIF($BT$4:BT47,BT47)&gt;=MAX($D$4:$D$8),BT47+1,BT47))</f>
        <v>#VALUE!</v>
      </c>
      <c r="BU48" s="1" t="e">
        <f t="shared" si="20"/>
        <v>#VALUE!</v>
      </c>
      <c r="BV48" s="8" t="str">
        <f t="shared" si="21"/>
        <v/>
      </c>
      <c r="BX48" s="71" t="e">
        <f t="shared" si="22"/>
        <v>#VALUE!</v>
      </c>
      <c r="BY48" s="71" t="str">
        <f>IF(OR(COUNTBLANK(CB48)=1,ISERROR(CB48)),"",COUNT($CB$4:CB48))</f>
        <v/>
      </c>
      <c r="BZ48" s="7" t="e">
        <f t="shared" si="23"/>
        <v>#VALUE!</v>
      </c>
      <c r="CA48" s="1" t="str">
        <f t="shared" si="24"/>
        <v/>
      </c>
      <c r="CB48" s="79" t="e">
        <f>IF(IF(COUNTIF($CB$4:CB47,CB46)&gt;=MAX($D$4:$D$8),CB46+2,CB46)&gt;55,"",IF(COUNTIF($CB$4:CB47,CB46)&gt;=MAX($D$4:$D$8),CB46+2,CB46))</f>
        <v>#VALUE!</v>
      </c>
      <c r="CC48" s="1" t="e">
        <f t="shared" si="25"/>
        <v>#VALUE!</v>
      </c>
      <c r="CD48" s="8" t="str">
        <f t="shared" si="26"/>
        <v/>
      </c>
      <c r="CF48" s="71" t="e">
        <f t="shared" si="61"/>
        <v>#VALUE!</v>
      </c>
      <c r="CG48" s="71" t="str">
        <f>IF(OR(COUNTBLANK(CJ48)=1,ISERROR(CJ48)),"",COUNT($CJ$4:CJ48))</f>
        <v/>
      </c>
      <c r="CH48" s="7" t="e">
        <f t="shared" si="62"/>
        <v>#VALUE!</v>
      </c>
      <c r="CI48" s="1" t="str">
        <f t="shared" si="63"/>
        <v/>
      </c>
      <c r="CJ48" s="79" t="e">
        <f>IF(IF(COUNTIF($CJ$4:CJ47,CJ45)&gt;=MAX($D$4:$D$8),CJ45+3,CJ45)&gt;55,"",IF(COUNTIF($CJ$4:CJ47,CJ45)&gt;=MAX($D$4:$D$8),CJ45+3,CJ45))</f>
        <v>#VALUE!</v>
      </c>
      <c r="CK48" s="1" t="e">
        <f t="shared" si="30"/>
        <v>#VALUE!</v>
      </c>
      <c r="CL48" s="8" t="str">
        <f t="shared" si="64"/>
        <v/>
      </c>
      <c r="CN48" s="71" t="e">
        <f t="shared" si="51"/>
        <v>#VALUE!</v>
      </c>
      <c r="CO48" s="71" t="str">
        <f>IF(OR(COUNTBLANK(CR48)=1,ISERROR(CR48)),"",COUNT($CR$4:CR48))</f>
        <v/>
      </c>
      <c r="CP48" s="7" t="e">
        <f t="shared" si="52"/>
        <v>#VALUE!</v>
      </c>
      <c r="CQ48" s="1" t="str">
        <f t="shared" si="53"/>
        <v/>
      </c>
      <c r="CR48" s="79" t="e">
        <f>IF(IF(COUNTIF($CR$4:CR47,CR44)&gt;=MAX($D$4:$D$8),CR44+4,CR44)&gt;55,"",IF(COUNTIF($CR$4:CR47,CR44)&gt;=MAX($D$4:$D$8),CR44+4,CR44))</f>
        <v>#VALUE!</v>
      </c>
      <c r="CS48" s="1" t="e">
        <f t="shared" si="35"/>
        <v>#VALUE!</v>
      </c>
      <c r="CT48" s="8" t="str">
        <f t="shared" si="54"/>
        <v/>
      </c>
      <c r="CV48" s="71" t="e">
        <f t="shared" si="65"/>
        <v>#VALUE!</v>
      </c>
      <c r="CW48" s="71" t="str">
        <f>IF(OR(COUNTBLANK(CZ48)=1,ISERROR(CZ48)),"",COUNT($CZ$4:CZ48))</f>
        <v/>
      </c>
      <c r="CX48" s="7" t="e">
        <f t="shared" si="66"/>
        <v>#VALUE!</v>
      </c>
      <c r="CY48" s="1" t="str">
        <f t="shared" si="67"/>
        <v/>
      </c>
      <c r="CZ48" s="79" t="e">
        <f>IF(IF(COUNTIF($CZ$4:CZ47,CZ43)&gt;=MAX($D$4:$D$8),CZ43+5,CZ43)&gt;55,"",IF(COUNTIF($CZ$4:CZ47,CZ43)&gt;=MAX($D$4:$D$8),CZ43+5,CZ43))</f>
        <v>#VALUE!</v>
      </c>
      <c r="DA48" s="1" t="e">
        <f t="shared" si="40"/>
        <v>#VALUE!</v>
      </c>
      <c r="DB48" s="8" t="str">
        <f t="shared" si="68"/>
        <v/>
      </c>
    </row>
    <row r="49" spans="5:106" x14ac:dyDescent="0.15">
      <c r="E49" s="1">
        <v>46</v>
      </c>
      <c r="F49" s="1">
        <f t="shared" si="42"/>
        <v>1</v>
      </c>
      <c r="G49" s="1">
        <f t="shared" si="60"/>
        <v>1</v>
      </c>
      <c r="H49" s="1">
        <f t="shared" si="45"/>
        <v>1</v>
      </c>
      <c r="I49" s="1">
        <f t="shared" si="50"/>
        <v>1</v>
      </c>
      <c r="J49" s="1">
        <f t="shared" si="55"/>
        <v>1</v>
      </c>
      <c r="L49" s="1" t="str">
        <f>IF(ISERROR(HLOOKUP($C$10,$F$3:$J$253,47,0)),"",HLOOKUP($C$10,$F$3:$J$253,47,0))</f>
        <v/>
      </c>
      <c r="S49" s="9">
        <v>46</v>
      </c>
      <c r="T49" s="1">
        <v>26</v>
      </c>
      <c r="U49" s="1" t="s">
        <v>40</v>
      </c>
      <c r="W49" s="71" t="e">
        <f>IF(AA49="","",AA49*10+1)</f>
        <v>#VALUE!</v>
      </c>
      <c r="X49" s="71" t="str">
        <f>IF(OR(COUNTBLANK(AA49)=1,ISERROR(AA49)),"",COUNT(AA4:AA49))</f>
        <v/>
      </c>
      <c r="Y49" s="7" t="e">
        <f t="shared" si="0"/>
        <v>#VALUE!</v>
      </c>
      <c r="Z49" s="1" t="str">
        <f t="shared" si="17"/>
        <v/>
      </c>
      <c r="AA49" s="79" t="e">
        <f>IF(IF(COUNTIF(AA4:AA48,AA48)&gt;=MAX(D4:D8),AA48+1,AA48)&gt;50,"",IF(COUNTIF(AA4:AA48,AA48)&gt;=MAX(D4:D8),AA48+1,AA48))</f>
        <v>#VALUE!</v>
      </c>
      <c r="AB49" s="1" t="e">
        <f>IF(AA49="","",VLOOKUP(AA49,S4:U53,3,0))</f>
        <v>#VALUE!</v>
      </c>
      <c r="AC49" s="8" t="str">
        <f t="shared" si="1"/>
        <v/>
      </c>
      <c r="AE49" s="71" t="e">
        <f t="shared" si="2"/>
        <v>#VALUE!</v>
      </c>
      <c r="AF49" s="71" t="str">
        <f>IF(OR(COUNTBLANK(AI49)=1,ISERROR(AI49)),"",COUNT(AI4:AI49))</f>
        <v/>
      </c>
      <c r="AG49" s="7" t="e">
        <f t="shared" si="3"/>
        <v>#VALUE!</v>
      </c>
      <c r="AH49" s="1" t="str">
        <f>IF(ISERROR(INDEX(C4:C8,MATCH(G49,D4:D8,0))),"",INDEX(C4:C8,MATCH(G49,D4:D8,0)))</f>
        <v/>
      </c>
      <c r="AI49" s="79" t="e">
        <f>IF(IF(COUNTIF(AI4:AI47,AI47)&gt;=MAX(D4:D8),AI47+2,AI47)&gt;50,"",IF(COUNTIF(AI4:AI47,AI47)&gt;=MAX(D4:D8),AI47+2,AI47))</f>
        <v>#VALUE!</v>
      </c>
      <c r="AJ49" s="1" t="e">
        <f>IF(AI49="","",VLOOKUP(AI49,S4:U53,3,0))</f>
        <v>#VALUE!</v>
      </c>
      <c r="AK49" s="8" t="str">
        <f t="shared" si="4"/>
        <v/>
      </c>
      <c r="AM49" s="71" t="e">
        <f t="shared" si="5"/>
        <v>#VALUE!</v>
      </c>
      <c r="AN49" s="71" t="str">
        <f>IF(OR(COUNTBLANK(AQ49)=1,ISERROR(AQ49)),"",COUNT(AQ4:AQ49))</f>
        <v/>
      </c>
      <c r="AO49" s="7" t="e">
        <f t="shared" si="6"/>
        <v>#VALUE!</v>
      </c>
      <c r="AP49" s="1" t="str">
        <f>IF(ISERROR(INDEX(C4:C8,MATCH(H49,D4:D8,0))),"",INDEX(C4:C8,MATCH(H49,D4:D8,0)))</f>
        <v/>
      </c>
      <c r="AQ49" s="79" t="e">
        <f>IF(IF(COUNTIF(AQ4:AQ48,AQ46)&gt;=MAX(D4:D8),AQ46+3,AQ46)&gt;50,"",IF(COUNTIF(AQ4:AQ48,AQ46)&gt;=MAX(D4:D8),AQ46+3,AQ46))</f>
        <v>#VALUE!</v>
      </c>
      <c r="AR49" s="1" t="e">
        <f>IF(AQ49="","",VLOOKUP(AQ49,S4:U53,3,0))</f>
        <v>#VALUE!</v>
      </c>
      <c r="AS49" s="8" t="str">
        <f t="shared" si="7"/>
        <v/>
      </c>
      <c r="AU49" s="71" t="e">
        <f t="shared" si="8"/>
        <v>#VALUE!</v>
      </c>
      <c r="AV49" s="71" t="str">
        <f>IF(OR(COUNTBLANK(AY49)=1,ISERROR(AY49)),"",COUNT(AY4:AY49))</f>
        <v/>
      </c>
      <c r="AW49" s="7" t="e">
        <f t="shared" si="9"/>
        <v>#VALUE!</v>
      </c>
      <c r="AX49" s="1" t="str">
        <f>IF(ISERROR(INDEX(C4:C8,MATCH(I49,D4:D8,0))),"",INDEX(C4:C8,MATCH(I49,D4:D8,0)))</f>
        <v/>
      </c>
      <c r="AY49" s="79" t="e">
        <f>IF(IF(COUNTIF(AY4:AY48,AY45)&gt;=MAX(D4:D8),AY45+4,AY45)&gt;50,"",IF(COUNTIF(AY4:AY48,AY45)&gt;=MAX(D4:D8),AY45+4,AY45))</f>
        <v>#VALUE!</v>
      </c>
      <c r="AZ49" s="76" t="e">
        <f>IF(AY49="","",VLOOKUP(AY49,S4:U53,3,0))</f>
        <v>#VALUE!</v>
      </c>
      <c r="BA49" s="8" t="str">
        <f t="shared" si="10"/>
        <v/>
      </c>
      <c r="BC49" s="71" t="e">
        <f t="shared" si="11"/>
        <v>#VALUE!</v>
      </c>
      <c r="BD49" s="71" t="str">
        <f>IF(OR(COUNTBLANK(BG49)=1,ISERROR(BG49)),"",COUNT(BG4:BG49))</f>
        <v/>
      </c>
      <c r="BE49" s="7" t="e">
        <f t="shared" si="12"/>
        <v>#VALUE!</v>
      </c>
      <c r="BF49" s="1" t="str">
        <f>IF(ISERROR(INDEX(C4:C8,MATCH(J49,D4:D8,0))),"",INDEX(C4:C8,MATCH(J49,D4:D8,0)))</f>
        <v/>
      </c>
      <c r="BG49" s="79" t="e">
        <f>IF(IF(COUNTIF(BG4:BG48,BG44)&gt;=MAX(D4:D8),BG44+5,BG44)&gt;50,"",IF(COUNTIF(BG4:BG48,BG44)&gt;=MAX(D4:D8),BG44+5,BG44))</f>
        <v>#VALUE!</v>
      </c>
      <c r="BH49" s="76" t="e">
        <f>IF(BG49="","",VLOOKUP(BG49,S4:U53,3,0))</f>
        <v>#VALUE!</v>
      </c>
      <c r="BI49" s="8" t="str">
        <f t="shared" si="13"/>
        <v/>
      </c>
      <c r="BL49" s="115">
        <v>46</v>
      </c>
      <c r="BM49" s="112">
        <v>21</v>
      </c>
      <c r="BN49" s="112" t="s">
        <v>35</v>
      </c>
      <c r="BP49" s="71" t="e">
        <f>IF(BT49="","",BT49*10+1)</f>
        <v>#VALUE!</v>
      </c>
      <c r="BQ49" s="71" t="str">
        <f>IF(OR(COUNTBLANK(BT49)=1,ISERROR(BT49)),"",COUNT(BT4:BT49))</f>
        <v/>
      </c>
      <c r="BR49" s="7" t="e">
        <f t="shared" si="18"/>
        <v>#VALUE!</v>
      </c>
      <c r="BS49" s="1" t="str">
        <f t="shared" si="19"/>
        <v/>
      </c>
      <c r="BT49" s="79" t="e">
        <f>IF(IF(COUNTIF($BT$4:BT48,BT48)&gt;=MAX($D$4:$D$8),BT48+1,BT48)&gt;55,"",IF(COUNTIF($BT$4:BT48,BT48)&gt;=MAX($D$4:$D$8),BT48+1,BT48))</f>
        <v>#VALUE!</v>
      </c>
      <c r="BU49" s="1" t="e">
        <f t="shared" si="20"/>
        <v>#VALUE!</v>
      </c>
      <c r="BV49" s="8" t="str">
        <f t="shared" si="21"/>
        <v/>
      </c>
      <c r="BX49" s="71" t="e">
        <f t="shared" si="22"/>
        <v>#VALUE!</v>
      </c>
      <c r="BY49" s="71" t="str">
        <f>IF(OR(COUNTBLANK(CB49)=1,ISERROR(CB49)),"",COUNT($CB$4:CB49))</f>
        <v/>
      </c>
      <c r="BZ49" s="7" t="e">
        <f t="shared" si="23"/>
        <v>#VALUE!</v>
      </c>
      <c r="CA49" s="1" t="str">
        <f t="shared" si="24"/>
        <v/>
      </c>
      <c r="CB49" s="79" t="e">
        <f>IF(IF(COUNTIF($CB$4:CB48,CB47)&gt;=MAX($D$4:$D$8),CB47+2,CB47)&gt;55,"",IF(COUNTIF($CB$4:CB48,CB47)&gt;=MAX($D$4:$D$8),CB47+2,CB47))</f>
        <v>#VALUE!</v>
      </c>
      <c r="CC49" s="1" t="e">
        <f t="shared" si="25"/>
        <v>#VALUE!</v>
      </c>
      <c r="CD49" s="8" t="str">
        <f t="shared" si="26"/>
        <v/>
      </c>
      <c r="CF49" s="71" t="e">
        <f t="shared" si="61"/>
        <v>#VALUE!</v>
      </c>
      <c r="CG49" s="71" t="str">
        <f>IF(OR(COUNTBLANK(CJ49)=1,ISERROR(CJ49)),"",COUNT($CJ$4:CJ49))</f>
        <v/>
      </c>
      <c r="CH49" s="7" t="e">
        <f t="shared" si="62"/>
        <v>#VALUE!</v>
      </c>
      <c r="CI49" s="1" t="str">
        <f t="shared" si="63"/>
        <v/>
      </c>
      <c r="CJ49" s="79" t="e">
        <f>IF(IF(COUNTIF($CJ$4:CJ48,CJ46)&gt;=MAX($D$4:$D$8),CJ46+3,CJ46)&gt;55,"",IF(COUNTIF($CJ$4:CJ48,CJ46)&gt;=MAX($D$4:$D$8),CJ46+3,CJ46))</f>
        <v>#VALUE!</v>
      </c>
      <c r="CK49" s="1" t="e">
        <f t="shared" si="30"/>
        <v>#VALUE!</v>
      </c>
      <c r="CL49" s="8" t="str">
        <f t="shared" si="64"/>
        <v/>
      </c>
      <c r="CN49" s="71" t="e">
        <f t="shared" si="51"/>
        <v>#VALUE!</v>
      </c>
      <c r="CO49" s="71" t="str">
        <f>IF(OR(COUNTBLANK(CR49)=1,ISERROR(CR49)),"",COUNT($CR$4:CR49))</f>
        <v/>
      </c>
      <c r="CP49" s="7" t="e">
        <f t="shared" si="52"/>
        <v>#VALUE!</v>
      </c>
      <c r="CQ49" s="1" t="str">
        <f t="shared" si="53"/>
        <v/>
      </c>
      <c r="CR49" s="79" t="e">
        <f>IF(IF(COUNTIF($CR$4:CR48,CR45)&gt;=MAX($D$4:$D$8),CR45+4,CR45)&gt;55,"",IF(COUNTIF($CR$4:CR48,CR45)&gt;=MAX($D$4:$D$8),CR45+4,CR45))</f>
        <v>#VALUE!</v>
      </c>
      <c r="CS49" s="1" t="e">
        <f t="shared" si="35"/>
        <v>#VALUE!</v>
      </c>
      <c r="CT49" s="8" t="str">
        <f t="shared" si="54"/>
        <v/>
      </c>
      <c r="CV49" s="71" t="e">
        <f t="shared" si="65"/>
        <v>#VALUE!</v>
      </c>
      <c r="CW49" s="71" t="str">
        <f>IF(OR(COUNTBLANK(CZ49)=1,ISERROR(CZ49)),"",COUNT($CZ$4:CZ49))</f>
        <v/>
      </c>
      <c r="CX49" s="7" t="e">
        <f t="shared" si="66"/>
        <v>#VALUE!</v>
      </c>
      <c r="CY49" s="1" t="str">
        <f t="shared" si="67"/>
        <v/>
      </c>
      <c r="CZ49" s="79" t="e">
        <f>IF(IF(COUNTIF($CZ$4:CZ48,CZ44)&gt;=MAX($D$4:$D$8),CZ44+5,CZ44)&gt;55,"",IF(COUNTIF($CZ$4:CZ48,CZ44)&gt;=MAX($D$4:$D$8),CZ44+5,CZ44))</f>
        <v>#VALUE!</v>
      </c>
      <c r="DA49" s="1" t="e">
        <f t="shared" si="40"/>
        <v>#VALUE!</v>
      </c>
      <c r="DB49" s="8" t="str">
        <f t="shared" si="68"/>
        <v/>
      </c>
    </row>
    <row r="50" spans="5:106" x14ac:dyDescent="0.15">
      <c r="E50" s="1">
        <v>47</v>
      </c>
      <c r="F50" s="1">
        <f t="shared" si="42"/>
        <v>1</v>
      </c>
      <c r="G50" s="1">
        <f t="shared" si="60"/>
        <v>1</v>
      </c>
      <c r="H50" s="1">
        <f t="shared" si="45"/>
        <v>1</v>
      </c>
      <c r="I50" s="1">
        <f t="shared" si="50"/>
        <v>1</v>
      </c>
      <c r="J50" s="1">
        <f t="shared" si="55"/>
        <v>1</v>
      </c>
      <c r="L50" s="1" t="str">
        <f>IF(ISERROR(HLOOKUP($C$10,$F$3:$J$253,48,0)),"",HLOOKUP($C$10,$F$3:$J$253,48,0))</f>
        <v/>
      </c>
      <c r="S50" s="9">
        <v>47</v>
      </c>
      <c r="T50" s="1">
        <v>27</v>
      </c>
      <c r="U50" s="1" t="s">
        <v>41</v>
      </c>
      <c r="W50" s="71" t="e">
        <f>IF(AA50="","",AA50*10+2)</f>
        <v>#VALUE!</v>
      </c>
      <c r="X50" s="71" t="str">
        <f>IF(OR(COUNTBLANK(AA50)=1,ISERROR(AA50)),"",COUNT(AA4:AA50))</f>
        <v/>
      </c>
      <c r="Y50" s="7" t="e">
        <f t="shared" si="0"/>
        <v>#VALUE!</v>
      </c>
      <c r="Z50" s="1" t="str">
        <f t="shared" si="17"/>
        <v/>
      </c>
      <c r="AA50" s="79" t="e">
        <f>IF(IF(COUNTIF(AA4:AA49,AA49)&gt;=MAX(D4:D8),AA49+1,AA49)&gt;50,"",IF(COUNTIF(AA4:AA49,AA49)&gt;=MAX(D4:D8),AA49+1,AA49))</f>
        <v>#VALUE!</v>
      </c>
      <c r="AB50" s="1" t="e">
        <f>IF(AA50="","",VLOOKUP(AA50,S4:U53,3,0))</f>
        <v>#VALUE!</v>
      </c>
      <c r="AC50" s="8" t="str">
        <f t="shared" si="1"/>
        <v/>
      </c>
      <c r="AE50" s="71" t="e">
        <f t="shared" si="2"/>
        <v>#VALUE!</v>
      </c>
      <c r="AF50" s="71" t="str">
        <f>IF(OR(COUNTBLANK(AI50)=1,ISERROR(AI50)),"",COUNT(AI4:AI50))</f>
        <v/>
      </c>
      <c r="AG50" s="7" t="e">
        <f t="shared" si="3"/>
        <v>#VALUE!</v>
      </c>
      <c r="AH50" s="1" t="str">
        <f>IF(ISERROR(INDEX(C4:C8,MATCH(G50,D4:D8,0))),"",INDEX(C4:C8,MATCH(G50,D4:D8,0)))</f>
        <v/>
      </c>
      <c r="AI50" s="79" t="e">
        <f>IF(IF(COUNTIF(AI4:AI49,AI48)&gt;=MAX(D4:D8),AI48+2,AI48)&gt;50,"",IF(COUNTIF(AI4:AI49,AI48)&gt;=MAX(D4:D8),AI48+2,AI48))</f>
        <v>#VALUE!</v>
      </c>
      <c r="AJ50" s="1" t="e">
        <f>IF(AI50="","",VLOOKUP(AI50,S4:U53,3,0))</f>
        <v>#VALUE!</v>
      </c>
      <c r="AK50" s="8" t="str">
        <f t="shared" si="4"/>
        <v/>
      </c>
      <c r="AM50" s="71" t="e">
        <f t="shared" si="5"/>
        <v>#VALUE!</v>
      </c>
      <c r="AN50" s="71" t="str">
        <f>IF(OR(COUNTBLANK(AQ50)=1,ISERROR(AQ50)),"",COUNT(AQ4:AQ50))</f>
        <v/>
      </c>
      <c r="AO50" s="7" t="e">
        <f t="shared" si="6"/>
        <v>#VALUE!</v>
      </c>
      <c r="AP50" s="1" t="str">
        <f>IF(ISERROR(INDEX(C4:C8,MATCH(H50,D4:D8,0))),"",INDEX(C4:C8,MATCH(H50,D4:D8,0)))</f>
        <v/>
      </c>
      <c r="AQ50" s="79" t="e">
        <f>IF(IF(COUNTIF(AQ4:AQ49,AQ47)&gt;=MAX(D4:D8),AQ47+3,AQ47)&gt;50,"",IF(COUNTIF(AQ4:AQ49,AQ47)&gt;=MAX(D4:D8),AQ47+3,AQ47))</f>
        <v>#VALUE!</v>
      </c>
      <c r="AR50" s="1" t="e">
        <f>IF(AQ50="","",VLOOKUP(AQ50,S4:U53,3,0))</f>
        <v>#VALUE!</v>
      </c>
      <c r="AS50" s="8" t="str">
        <f t="shared" si="7"/>
        <v/>
      </c>
      <c r="AU50" s="71" t="e">
        <f t="shared" si="8"/>
        <v>#VALUE!</v>
      </c>
      <c r="AV50" s="71" t="str">
        <f>IF(OR(COUNTBLANK(AY50)=1,ISERROR(AY50)),"",COUNT(AY4:AY50))</f>
        <v/>
      </c>
      <c r="AW50" s="7" t="e">
        <f t="shared" si="9"/>
        <v>#VALUE!</v>
      </c>
      <c r="AX50" s="1" t="str">
        <f>IF(ISERROR(INDEX(C4:C8,MATCH(I50,D4:D8,0))),"",INDEX(C4:C8,MATCH(I50,D4:D8,0)))</f>
        <v/>
      </c>
      <c r="AY50" s="79" t="e">
        <f>IF(IF(COUNTIF(AY4:AY49,AY46)&gt;=MAX(D4:D8),AY46+4,AY46)&gt;50,"",IF(COUNTIF(AY4:AY49,AY46)&gt;=MAX(D4:D8),AY46+4,AY46))</f>
        <v>#VALUE!</v>
      </c>
      <c r="AZ50" s="76" t="e">
        <f>IF(AY50="","",VLOOKUP(AY50,S4:U53,3,0))</f>
        <v>#VALUE!</v>
      </c>
      <c r="BA50" s="8" t="str">
        <f t="shared" si="10"/>
        <v/>
      </c>
      <c r="BC50" s="71" t="e">
        <f t="shared" si="11"/>
        <v>#VALUE!</v>
      </c>
      <c r="BD50" s="71" t="str">
        <f>IF(OR(COUNTBLANK(BG50)=1,ISERROR(BG50)),"",COUNT(BG4:BG50))</f>
        <v/>
      </c>
      <c r="BE50" s="7" t="e">
        <f t="shared" si="12"/>
        <v>#VALUE!</v>
      </c>
      <c r="BF50" s="1" t="str">
        <f>IF(ISERROR(INDEX(C4:C8,MATCH(J50,D4:D8,0))),"",INDEX(C4:C8,MATCH(J50,D4:D8,0)))</f>
        <v/>
      </c>
      <c r="BG50" s="79" t="e">
        <f>IF(IF(COUNTIF(BG4:BG49,BG45)&gt;=MAX(D4:D8),BG45+5,BG45)&gt;50,"",IF(COUNTIF(BG4:BG49,BG45)&gt;=MAX(D4:D8),BG45+5,BG45))</f>
        <v>#VALUE!</v>
      </c>
      <c r="BH50" s="76" t="e">
        <f>IF(BG50="","",VLOOKUP(BG50,S4:U53,3,0))</f>
        <v>#VALUE!</v>
      </c>
      <c r="BI50" s="8" t="str">
        <f t="shared" si="13"/>
        <v/>
      </c>
      <c r="BL50" s="115">
        <v>47</v>
      </c>
      <c r="BM50" s="112">
        <v>22</v>
      </c>
      <c r="BN50" s="112" t="s">
        <v>36</v>
      </c>
      <c r="BP50" s="71" t="e">
        <f>IF(BT50="","",BT50*10+2)</f>
        <v>#VALUE!</v>
      </c>
      <c r="BQ50" s="71" t="str">
        <f>IF(OR(COUNTBLANK(BT50)=1,ISERROR(BT50)),"",COUNT(BT4:BT50))</f>
        <v/>
      </c>
      <c r="BR50" s="7" t="e">
        <f t="shared" si="18"/>
        <v>#VALUE!</v>
      </c>
      <c r="BS50" s="1" t="str">
        <f t="shared" si="19"/>
        <v/>
      </c>
      <c r="BT50" s="79" t="e">
        <f>IF(IF(COUNTIF($BT$4:BT49,BT49)&gt;=MAX($D$4:$D$8),BT49+1,BT49)&gt;55,"",IF(COUNTIF($BT$4:BT49,BT49)&gt;=MAX($D$4:$D$8),BT49+1,BT49))</f>
        <v>#VALUE!</v>
      </c>
      <c r="BU50" s="1" t="e">
        <f t="shared" si="20"/>
        <v>#VALUE!</v>
      </c>
      <c r="BV50" s="8" t="str">
        <f t="shared" si="21"/>
        <v/>
      </c>
      <c r="BX50" s="71" t="e">
        <f t="shared" si="22"/>
        <v>#VALUE!</v>
      </c>
      <c r="BY50" s="71" t="str">
        <f>IF(OR(COUNTBLANK(CB50)=1,ISERROR(CB50)),"",COUNT($CB$4:CB50))</f>
        <v/>
      </c>
      <c r="BZ50" s="7" t="e">
        <f t="shared" si="23"/>
        <v>#VALUE!</v>
      </c>
      <c r="CA50" s="1" t="str">
        <f t="shared" si="24"/>
        <v/>
      </c>
      <c r="CB50" s="79" t="e">
        <f>IF(IF(COUNTIF($CB$4:CB49,CB48)&gt;=MAX($D$4:$D$8),CB48+2,CB48)&gt;55,"",IF(COUNTIF($CB$4:CB49,CB48)&gt;=MAX($D$4:$D$8),CB48+2,CB48))</f>
        <v>#VALUE!</v>
      </c>
      <c r="CC50" s="1" t="e">
        <f t="shared" si="25"/>
        <v>#VALUE!</v>
      </c>
      <c r="CD50" s="8" t="str">
        <f t="shared" si="26"/>
        <v/>
      </c>
      <c r="CF50" s="71" t="e">
        <f t="shared" si="61"/>
        <v>#VALUE!</v>
      </c>
      <c r="CG50" s="71" t="str">
        <f>IF(OR(COUNTBLANK(CJ50)=1,ISERROR(CJ50)),"",COUNT($CJ$4:CJ50))</f>
        <v/>
      </c>
      <c r="CH50" s="7" t="e">
        <f t="shared" si="62"/>
        <v>#VALUE!</v>
      </c>
      <c r="CI50" s="1" t="str">
        <f t="shared" si="63"/>
        <v/>
      </c>
      <c r="CJ50" s="79" t="e">
        <f>IF(IF(COUNTIF($CJ$4:CJ49,CJ47)&gt;=MAX($D$4:$D$8),CJ47+3,CJ47)&gt;55,"",IF(COUNTIF($CJ$4:CJ49,CJ47)&gt;=MAX($D$4:$D$8),CJ47+3,CJ47))</f>
        <v>#VALUE!</v>
      </c>
      <c r="CK50" s="1" t="e">
        <f t="shared" si="30"/>
        <v>#VALUE!</v>
      </c>
      <c r="CL50" s="8" t="str">
        <f t="shared" si="64"/>
        <v/>
      </c>
      <c r="CN50" s="71" t="e">
        <f t="shared" si="51"/>
        <v>#VALUE!</v>
      </c>
      <c r="CO50" s="71" t="str">
        <f>IF(OR(COUNTBLANK(CR50)=1,ISERROR(CR50)),"",COUNT($CR$4:CR50))</f>
        <v/>
      </c>
      <c r="CP50" s="7" t="e">
        <f t="shared" si="52"/>
        <v>#VALUE!</v>
      </c>
      <c r="CQ50" s="1" t="str">
        <f t="shared" si="53"/>
        <v/>
      </c>
      <c r="CR50" s="79" t="e">
        <f>IF(IF(COUNTIF($CR$4:CR49,CR46)&gt;=MAX($D$4:$D$8),CR46+4,CR46)&gt;55,"",IF(COUNTIF($CR$4:CR49,CR46)&gt;=MAX($D$4:$D$8),CR46+4,CR46))</f>
        <v>#VALUE!</v>
      </c>
      <c r="CS50" s="1" t="e">
        <f t="shared" si="35"/>
        <v>#VALUE!</v>
      </c>
      <c r="CT50" s="8" t="str">
        <f t="shared" si="54"/>
        <v/>
      </c>
      <c r="CV50" s="71" t="e">
        <f t="shared" si="65"/>
        <v>#VALUE!</v>
      </c>
      <c r="CW50" s="71" t="str">
        <f>IF(OR(COUNTBLANK(CZ50)=1,ISERROR(CZ50)),"",COUNT($CZ$4:CZ50))</f>
        <v/>
      </c>
      <c r="CX50" s="7" t="e">
        <f t="shared" si="66"/>
        <v>#VALUE!</v>
      </c>
      <c r="CY50" s="1" t="str">
        <f t="shared" si="67"/>
        <v/>
      </c>
      <c r="CZ50" s="79" t="e">
        <f>IF(IF(COUNTIF($CZ$4:CZ49,CZ45)&gt;=MAX($D$4:$D$8),CZ45+5,CZ45)&gt;55,"",IF(COUNTIF($CZ$4:CZ49,CZ45)&gt;=MAX($D$4:$D$8),CZ45+5,CZ45))</f>
        <v>#VALUE!</v>
      </c>
      <c r="DA50" s="1" t="e">
        <f t="shared" si="40"/>
        <v>#VALUE!</v>
      </c>
      <c r="DB50" s="8" t="str">
        <f t="shared" si="68"/>
        <v/>
      </c>
    </row>
    <row r="51" spans="5:106" x14ac:dyDescent="0.15">
      <c r="E51" s="1">
        <v>48</v>
      </c>
      <c r="F51" s="1">
        <f t="shared" si="42"/>
        <v>1</v>
      </c>
      <c r="G51" s="1">
        <f t="shared" si="60"/>
        <v>1</v>
      </c>
      <c r="H51" s="1">
        <f t="shared" si="45"/>
        <v>1</v>
      </c>
      <c r="I51" s="1">
        <f t="shared" si="50"/>
        <v>1</v>
      </c>
      <c r="J51" s="1">
        <f t="shared" si="55"/>
        <v>1</v>
      </c>
      <c r="L51" s="1" t="str">
        <f>IF(ISERROR(HLOOKUP($C$10,$F$3:$J$253,49,0)),"",HLOOKUP($C$10,$F$3:$J$253,49,0))</f>
        <v/>
      </c>
      <c r="S51" s="9">
        <v>48</v>
      </c>
      <c r="T51" s="1">
        <v>28</v>
      </c>
      <c r="U51" s="1" t="s">
        <v>42</v>
      </c>
      <c r="W51" s="71" t="e">
        <f>IF(AA51="","",AA51*10+3)</f>
        <v>#VALUE!</v>
      </c>
      <c r="X51" s="71" t="str">
        <f>IF(OR(COUNTBLANK(AA51)=1,ISERROR(AA51)),"",COUNT(AA4:AA51))</f>
        <v/>
      </c>
      <c r="Y51" s="7" t="e">
        <f t="shared" si="0"/>
        <v>#VALUE!</v>
      </c>
      <c r="Z51" s="1" t="str">
        <f t="shared" si="17"/>
        <v/>
      </c>
      <c r="AA51" s="79" t="e">
        <f>IF(IF(COUNTIF(AA4:AA50,AA50)&gt;=MAX(D4:D8),AA50+1,AA50)&gt;50,"",IF(COUNTIF(AA4:AA50,AA50)&gt;=MAX(D4:D8),AA50+1,AA50))</f>
        <v>#VALUE!</v>
      </c>
      <c r="AB51" s="1" t="e">
        <f>IF(AA51="","",VLOOKUP(AA51,S4:U53,3,0))</f>
        <v>#VALUE!</v>
      </c>
      <c r="AC51" s="8" t="str">
        <f t="shared" si="1"/>
        <v/>
      </c>
      <c r="AE51" s="71" t="e">
        <f t="shared" si="2"/>
        <v>#VALUE!</v>
      </c>
      <c r="AF51" s="71" t="str">
        <f>IF(OR(COUNTBLANK(AI51)=1,ISERROR(AI51)),"",COUNT(AI4:AI51))</f>
        <v/>
      </c>
      <c r="AG51" s="7" t="e">
        <f t="shared" si="3"/>
        <v>#VALUE!</v>
      </c>
      <c r="AH51" s="1" t="str">
        <f>IF(ISERROR(INDEX(C4:C8,MATCH(G51,D4:D8,0))),"",INDEX(C4:C8,MATCH(G51,D4:D8,0)))</f>
        <v/>
      </c>
      <c r="AI51" s="79" t="e">
        <f>IF(IF(COUNTIF(AI4:AI49,AI49)&gt;=MAX(D4:D8),AI49+2,AI49)&gt;50,"",IF(COUNTIF(AI4:AI49,AI49)&gt;=MAX(D4:D8),AI49+2,AI49))</f>
        <v>#VALUE!</v>
      </c>
      <c r="AJ51" s="1" t="e">
        <f>IF(AI51="","",VLOOKUP(AI51,S4:U53,3,0))</f>
        <v>#VALUE!</v>
      </c>
      <c r="AK51" s="8" t="str">
        <f t="shared" si="4"/>
        <v/>
      </c>
      <c r="AM51" s="71" t="e">
        <f t="shared" si="5"/>
        <v>#VALUE!</v>
      </c>
      <c r="AN51" s="71" t="str">
        <f>IF(OR(COUNTBLANK(AQ51)=1,ISERROR(AQ51)),"",COUNT(AQ4:AQ51))</f>
        <v/>
      </c>
      <c r="AO51" s="7" t="e">
        <f t="shared" si="6"/>
        <v>#VALUE!</v>
      </c>
      <c r="AP51" s="1" t="str">
        <f>IF(ISERROR(INDEX(C4:C8,MATCH(H51,D4:D8,0))),"",INDEX(C4:C8,MATCH(H51,D4:D8,0)))</f>
        <v/>
      </c>
      <c r="AQ51" s="79" t="e">
        <f>IF(IF(COUNTIF(AQ4:AQ50,AQ48)&gt;=MAX(D4:D8),AQ48+3,AQ48)&gt;50,"",IF(COUNTIF(AQ4:AQ50,AQ48)&gt;=MAX(D4:D8),AQ48+3,AQ48))</f>
        <v>#VALUE!</v>
      </c>
      <c r="AR51" s="1" t="e">
        <f>IF(AQ51="","",VLOOKUP(AQ51,S4:U53,3,0))</f>
        <v>#VALUE!</v>
      </c>
      <c r="AS51" s="8" t="str">
        <f t="shared" si="7"/>
        <v/>
      </c>
      <c r="AU51" s="71" t="e">
        <f t="shared" si="8"/>
        <v>#VALUE!</v>
      </c>
      <c r="AV51" s="71" t="str">
        <f>IF(OR(COUNTBLANK(AY51)=1,ISERROR(AY51)),"",COUNT(AY4:AY51))</f>
        <v/>
      </c>
      <c r="AW51" s="7" t="e">
        <f t="shared" si="9"/>
        <v>#VALUE!</v>
      </c>
      <c r="AX51" s="1" t="str">
        <f>IF(ISERROR(INDEX(C4:C8,MATCH(I51,D4:D8,0))),"",INDEX(C4:C8,MATCH(I51,D4:D8,0)))</f>
        <v/>
      </c>
      <c r="AY51" s="79" t="e">
        <f>IF(IF(COUNTIF(AY4:AY50,AY47)&gt;=MAX(D4:D8),AY47+4,AY47)&gt;50,"",IF(COUNTIF(AY4:AY50,AY47)&gt;=MAX(D4:D8),AY47+4,AY47))</f>
        <v>#VALUE!</v>
      </c>
      <c r="AZ51" s="76" t="e">
        <f>IF(AY51="","",VLOOKUP(AY51,S4:U53,3,0))</f>
        <v>#VALUE!</v>
      </c>
      <c r="BA51" s="8" t="str">
        <f t="shared" si="10"/>
        <v/>
      </c>
      <c r="BC51" s="71" t="e">
        <f t="shared" si="11"/>
        <v>#VALUE!</v>
      </c>
      <c r="BD51" s="71" t="str">
        <f>IF(OR(COUNTBLANK(BG51)=1,ISERROR(BG51)),"",COUNT(BG4:BG51))</f>
        <v/>
      </c>
      <c r="BE51" s="7" t="e">
        <f t="shared" si="12"/>
        <v>#VALUE!</v>
      </c>
      <c r="BF51" s="1" t="str">
        <f>IF(ISERROR(INDEX(C4:C8,MATCH(J51,D4:D8,0))),"",INDEX(C4:C8,MATCH(J51,D4:D8,0)))</f>
        <v/>
      </c>
      <c r="BG51" s="79" t="e">
        <f>IF(IF(COUNTIF(BG4:BG50,BG46)&gt;=MAX(D4:D8),BG46+5,BG46)&gt;50,"",IF(COUNTIF(BG4:BG50,BG46)&gt;=MAX(D4:D8),BG46+5,BG46))</f>
        <v>#VALUE!</v>
      </c>
      <c r="BH51" s="76" t="e">
        <f>IF(BG51="","",VLOOKUP(BG51,S4:U53,3,0))</f>
        <v>#VALUE!</v>
      </c>
      <c r="BI51" s="8" t="str">
        <f t="shared" si="13"/>
        <v/>
      </c>
      <c r="BL51" s="115">
        <v>48</v>
      </c>
      <c r="BM51" s="112">
        <v>23</v>
      </c>
      <c r="BN51" s="112" t="s">
        <v>37</v>
      </c>
      <c r="BP51" s="71" t="e">
        <f>IF(BT51="","",BT51*10+3)</f>
        <v>#VALUE!</v>
      </c>
      <c r="BQ51" s="71" t="str">
        <f>IF(OR(COUNTBLANK(BT51)=1,ISERROR(BT51)),"",COUNT(BT4:BT51))</f>
        <v/>
      </c>
      <c r="BR51" s="7" t="e">
        <f t="shared" si="18"/>
        <v>#VALUE!</v>
      </c>
      <c r="BS51" s="1" t="str">
        <f t="shared" si="19"/>
        <v/>
      </c>
      <c r="BT51" s="79" t="e">
        <f>IF(IF(COUNTIF($BT$4:BT50,BT50)&gt;=MAX($D$4:$D$8),BT50+1,BT50)&gt;55,"",IF(COUNTIF($BT$4:BT50,BT50)&gt;=MAX($D$4:$D$8),BT50+1,BT50))</f>
        <v>#VALUE!</v>
      </c>
      <c r="BU51" s="1" t="e">
        <f t="shared" si="20"/>
        <v>#VALUE!</v>
      </c>
      <c r="BV51" s="8" t="str">
        <f t="shared" si="21"/>
        <v/>
      </c>
      <c r="BX51" s="71" t="e">
        <f t="shared" si="22"/>
        <v>#VALUE!</v>
      </c>
      <c r="BY51" s="71" t="str">
        <f>IF(OR(COUNTBLANK(CB51)=1,ISERROR(CB51)),"",COUNT($CB$4:CB51))</f>
        <v/>
      </c>
      <c r="BZ51" s="7" t="e">
        <f t="shared" si="23"/>
        <v>#VALUE!</v>
      </c>
      <c r="CA51" s="1" t="str">
        <f t="shared" si="24"/>
        <v/>
      </c>
      <c r="CB51" s="79" t="e">
        <f>IF(IF(COUNTIF($CB$4:CB50,CB49)&gt;=MAX($D$4:$D$8),CB49+2,CB49)&gt;55,"",IF(COUNTIF($CB$4:CB50,CB49)&gt;=MAX($D$4:$D$8),CB49+2,CB49))</f>
        <v>#VALUE!</v>
      </c>
      <c r="CC51" s="1" t="e">
        <f t="shared" si="25"/>
        <v>#VALUE!</v>
      </c>
      <c r="CD51" s="8" t="str">
        <f t="shared" si="26"/>
        <v/>
      </c>
      <c r="CF51" s="71" t="e">
        <f t="shared" si="61"/>
        <v>#VALUE!</v>
      </c>
      <c r="CG51" s="71" t="str">
        <f>IF(OR(COUNTBLANK(CJ51)=1,ISERROR(CJ51)),"",COUNT($CJ$4:CJ51))</f>
        <v/>
      </c>
      <c r="CH51" s="7" t="e">
        <f t="shared" si="62"/>
        <v>#VALUE!</v>
      </c>
      <c r="CI51" s="1" t="str">
        <f t="shared" si="63"/>
        <v/>
      </c>
      <c r="CJ51" s="79" t="e">
        <f>IF(IF(COUNTIF($CJ$4:CJ50,CJ48)&gt;=MAX($D$4:$D$8),CJ48+3,CJ48)&gt;55,"",IF(COUNTIF($CJ$4:CJ50,CJ48)&gt;=MAX($D$4:$D$8),CJ48+3,CJ48))</f>
        <v>#VALUE!</v>
      </c>
      <c r="CK51" s="1" t="e">
        <f t="shared" si="30"/>
        <v>#VALUE!</v>
      </c>
      <c r="CL51" s="8" t="str">
        <f t="shared" si="64"/>
        <v/>
      </c>
      <c r="CN51" s="71" t="e">
        <f t="shared" si="51"/>
        <v>#VALUE!</v>
      </c>
      <c r="CO51" s="71" t="str">
        <f>IF(OR(COUNTBLANK(CR51)=1,ISERROR(CR51)),"",COUNT($CR$4:CR51))</f>
        <v/>
      </c>
      <c r="CP51" s="7" t="e">
        <f t="shared" si="52"/>
        <v>#VALUE!</v>
      </c>
      <c r="CQ51" s="1" t="str">
        <f t="shared" si="53"/>
        <v/>
      </c>
      <c r="CR51" s="79" t="e">
        <f>IF(IF(COUNTIF($CR$4:CR50,CR47)&gt;=MAX($D$4:$D$8),CR47+4,CR47)&gt;55,"",IF(COUNTIF($CR$4:CR50,CR47)&gt;=MAX($D$4:$D$8),CR47+4,CR47))</f>
        <v>#VALUE!</v>
      </c>
      <c r="CS51" s="1" t="e">
        <f t="shared" si="35"/>
        <v>#VALUE!</v>
      </c>
      <c r="CT51" s="8" t="str">
        <f t="shared" si="54"/>
        <v/>
      </c>
      <c r="CV51" s="71" t="e">
        <f t="shared" si="65"/>
        <v>#VALUE!</v>
      </c>
      <c r="CW51" s="71" t="str">
        <f>IF(OR(COUNTBLANK(CZ51)=1,ISERROR(CZ51)),"",COUNT($CZ$4:CZ51))</f>
        <v/>
      </c>
      <c r="CX51" s="7" t="e">
        <f t="shared" si="66"/>
        <v>#VALUE!</v>
      </c>
      <c r="CY51" s="1" t="str">
        <f t="shared" si="67"/>
        <v/>
      </c>
      <c r="CZ51" s="79" t="e">
        <f>IF(IF(COUNTIF($CZ$4:CZ50,CZ46)&gt;=MAX($D$4:$D$8),CZ46+5,CZ46)&gt;55,"",IF(COUNTIF($CZ$4:CZ50,CZ46)&gt;=MAX($D$4:$D$8),CZ46+5,CZ46))</f>
        <v>#VALUE!</v>
      </c>
      <c r="DA51" s="1" t="e">
        <f t="shared" si="40"/>
        <v>#VALUE!</v>
      </c>
      <c r="DB51" s="8" t="str">
        <f t="shared" si="68"/>
        <v/>
      </c>
    </row>
    <row r="52" spans="5:106" x14ac:dyDescent="0.15">
      <c r="E52" s="1">
        <v>49</v>
      </c>
      <c r="F52" s="1">
        <f t="shared" si="42"/>
        <v>1</v>
      </c>
      <c r="G52" s="1">
        <f t="shared" si="60"/>
        <v>1</v>
      </c>
      <c r="H52" s="1">
        <f t="shared" si="45"/>
        <v>1</v>
      </c>
      <c r="I52" s="1">
        <f t="shared" si="50"/>
        <v>1</v>
      </c>
      <c r="J52" s="1">
        <f t="shared" si="55"/>
        <v>1</v>
      </c>
      <c r="L52" s="1" t="str">
        <f>IF(ISERROR(HLOOKUP($C$10,$F$3:$J$253,50,0)),"",HLOOKUP($C$10,$F$3:$J$253,50,0))</f>
        <v/>
      </c>
      <c r="S52" s="9">
        <v>49</v>
      </c>
      <c r="T52" s="1">
        <v>29</v>
      </c>
      <c r="U52" s="1" t="s">
        <v>43</v>
      </c>
      <c r="W52" s="71" t="e">
        <f>IF(AA52="","",AA52*10+4)</f>
        <v>#VALUE!</v>
      </c>
      <c r="X52" s="71" t="str">
        <f>IF(OR(COUNTBLANK(AA52)=1,ISERROR(AA52)),"",COUNT(AA4:AA52))</f>
        <v/>
      </c>
      <c r="Y52" s="7" t="e">
        <f t="shared" si="0"/>
        <v>#VALUE!</v>
      </c>
      <c r="Z52" s="1" t="str">
        <f t="shared" si="17"/>
        <v/>
      </c>
      <c r="AA52" s="79" t="e">
        <f>IF(IF(COUNTIF(AA4:AA51,AA51)&gt;=MAX(D4:D8),AA51+1,AA51)&gt;50,"",IF(COUNTIF(AA4:AA51,AA51)&gt;=MAX(D4:D8),AA51+1,AA51))</f>
        <v>#VALUE!</v>
      </c>
      <c r="AB52" s="1" t="e">
        <f>IF(AA52="","",VLOOKUP(AA52,S4:U53,3,0))</f>
        <v>#VALUE!</v>
      </c>
      <c r="AC52" s="8" t="str">
        <f t="shared" si="1"/>
        <v/>
      </c>
      <c r="AE52" s="71" t="e">
        <f t="shared" si="2"/>
        <v>#VALUE!</v>
      </c>
      <c r="AF52" s="71" t="str">
        <f>IF(OR(COUNTBLANK(AI52)=1,ISERROR(AI52)),"",COUNT(AI4:AI52))</f>
        <v/>
      </c>
      <c r="AG52" s="7" t="e">
        <f t="shared" si="3"/>
        <v>#VALUE!</v>
      </c>
      <c r="AH52" s="1" t="str">
        <f>IF(ISERROR(INDEX(C4:C8,MATCH(G52,D4:D8,0))),"",INDEX(C4:C8,MATCH(G52,D4:D8,0)))</f>
        <v/>
      </c>
      <c r="AI52" s="79" t="e">
        <f>IF(IF(COUNTIF(AI4:AI51,AI50)&gt;=MAX(D4:D8),AI50+2,AI50)&gt;50,"",IF(COUNTIF(AI4:AI51,AI50)&gt;=MAX(D4:D8),AI50+2,AI50))</f>
        <v>#VALUE!</v>
      </c>
      <c r="AJ52" s="1" t="e">
        <f>IF(AI52="","",VLOOKUP(AI52,S4:U53,3,0))</f>
        <v>#VALUE!</v>
      </c>
      <c r="AK52" s="8" t="str">
        <f t="shared" si="4"/>
        <v/>
      </c>
      <c r="AM52" s="71" t="e">
        <f t="shared" si="5"/>
        <v>#VALUE!</v>
      </c>
      <c r="AN52" s="71" t="str">
        <f>IF(OR(COUNTBLANK(AQ52)=1,ISERROR(AQ52)),"",COUNT(AQ4:AQ52))</f>
        <v/>
      </c>
      <c r="AO52" s="7" t="e">
        <f t="shared" si="6"/>
        <v>#VALUE!</v>
      </c>
      <c r="AP52" s="1" t="str">
        <f>IF(ISERROR(INDEX(C4:C8,MATCH(H52,D4:D8,0))),"",INDEX(C4:C8,MATCH(H52,D4:D8,0)))</f>
        <v/>
      </c>
      <c r="AQ52" s="79" t="e">
        <f>IF(IF(COUNTIF(AQ4:AQ51,AQ49)&gt;=MAX(D4:D8),AQ49+3,AQ49)&gt;50,"",IF(COUNTIF(AQ4:AQ51,AQ49)&gt;=MAX(D4:D8),AQ49+3,AQ49))</f>
        <v>#VALUE!</v>
      </c>
      <c r="AR52" s="1" t="e">
        <f>IF(AQ52="","",VLOOKUP(AQ52,S4:U53,3,0))</f>
        <v>#VALUE!</v>
      </c>
      <c r="AS52" s="8" t="str">
        <f t="shared" si="7"/>
        <v/>
      </c>
      <c r="AU52" s="71" t="e">
        <f t="shared" si="8"/>
        <v>#VALUE!</v>
      </c>
      <c r="AV52" s="71" t="str">
        <f>IF(OR(COUNTBLANK(AY52)=1,ISERROR(AY52)),"",COUNT(AY4:AY52))</f>
        <v/>
      </c>
      <c r="AW52" s="7" t="e">
        <f t="shared" si="9"/>
        <v>#VALUE!</v>
      </c>
      <c r="AX52" s="1" t="str">
        <f>IF(ISERROR(INDEX(C4:C8,MATCH(I52,D4:D8,0))),"",INDEX(C4:C8,MATCH(I52,D4:D8,0)))</f>
        <v/>
      </c>
      <c r="AY52" s="79" t="e">
        <f>IF(IF(COUNTIF(AY4:AY51,AY48)&gt;=MAX(D4:D8),AY48+4,AY48)&gt;50,"",IF(COUNTIF(AY4:AY51,AY48)&gt;=MAX(D4:D8),AY48+4,AY48))</f>
        <v>#VALUE!</v>
      </c>
      <c r="AZ52" s="76" t="e">
        <f>IF(AY52="","",VLOOKUP(AY52,S4:U53,3,0))</f>
        <v>#VALUE!</v>
      </c>
      <c r="BA52" s="8" t="str">
        <f t="shared" si="10"/>
        <v/>
      </c>
      <c r="BC52" s="71" t="e">
        <f t="shared" si="11"/>
        <v>#VALUE!</v>
      </c>
      <c r="BD52" s="71" t="str">
        <f>IF(OR(COUNTBLANK(BG52)=1,ISERROR(BG52)),"",COUNT(BG4:BG52))</f>
        <v/>
      </c>
      <c r="BE52" s="7" t="e">
        <f t="shared" si="12"/>
        <v>#VALUE!</v>
      </c>
      <c r="BF52" s="1" t="str">
        <f>IF(ISERROR(INDEX(C4:C8,MATCH(J52,D4:D8,0))),"",INDEX(C4:C8,MATCH(J52,D4:D8,0)))</f>
        <v/>
      </c>
      <c r="BG52" s="79" t="e">
        <f>IF(IF(COUNTIF(BG4:BG51,BG47)&gt;=MAX(D4:D8),BG47+5,BG47)&gt;50,"",IF(COUNTIF(BG4:BG51,BG47)&gt;=MAX(D4:D8),BG47+5,BG47))</f>
        <v>#VALUE!</v>
      </c>
      <c r="BH52" s="76" t="e">
        <f>IF(BG52="","",VLOOKUP(BG52,S4:U53,3,0))</f>
        <v>#VALUE!</v>
      </c>
      <c r="BI52" s="8" t="str">
        <f t="shared" si="13"/>
        <v/>
      </c>
      <c r="BL52" s="115">
        <v>49</v>
      </c>
      <c r="BM52" s="112">
        <v>24</v>
      </c>
      <c r="BN52" s="112" t="s">
        <v>38</v>
      </c>
      <c r="BP52" s="71" t="e">
        <f>IF(BT52="","",BT52*10+4)</f>
        <v>#VALUE!</v>
      </c>
      <c r="BQ52" s="71" t="str">
        <f>IF(OR(COUNTBLANK(BT52)=1,ISERROR(BT52)),"",COUNT(BT4:BT52))</f>
        <v/>
      </c>
      <c r="BR52" s="7" t="e">
        <f t="shared" si="18"/>
        <v>#VALUE!</v>
      </c>
      <c r="BS52" s="1" t="str">
        <f t="shared" si="19"/>
        <v/>
      </c>
      <c r="BT52" s="79" t="e">
        <f>IF(IF(COUNTIF($BT$4:BT51,BT51)&gt;=MAX($D$4:$D$8),BT51+1,BT51)&gt;55,"",IF(COUNTIF($BT$4:BT51,BT51)&gt;=MAX($D$4:$D$8),BT51+1,BT51))</f>
        <v>#VALUE!</v>
      </c>
      <c r="BU52" s="1" t="e">
        <f t="shared" si="20"/>
        <v>#VALUE!</v>
      </c>
      <c r="BV52" s="8" t="str">
        <f t="shared" si="21"/>
        <v/>
      </c>
      <c r="BX52" s="71" t="e">
        <f t="shared" si="22"/>
        <v>#VALUE!</v>
      </c>
      <c r="BY52" s="71" t="str">
        <f>IF(OR(COUNTBLANK(CB52)=1,ISERROR(CB52)),"",COUNT($CB$4:CB52))</f>
        <v/>
      </c>
      <c r="BZ52" s="7" t="e">
        <f t="shared" si="23"/>
        <v>#VALUE!</v>
      </c>
      <c r="CA52" s="1" t="str">
        <f t="shared" si="24"/>
        <v/>
      </c>
      <c r="CB52" s="79" t="e">
        <f>IF(IF(COUNTIF($CB$4:CB51,CB50)&gt;=MAX($D$4:$D$8),CB50+2,CB50)&gt;55,"",IF(COUNTIF($CB$4:CB51,CB50)&gt;=MAX($D$4:$D$8),CB50+2,CB50))</f>
        <v>#VALUE!</v>
      </c>
      <c r="CC52" s="1" t="e">
        <f t="shared" si="25"/>
        <v>#VALUE!</v>
      </c>
      <c r="CD52" s="8" t="str">
        <f t="shared" si="26"/>
        <v/>
      </c>
      <c r="CF52" s="71" t="e">
        <f t="shared" si="61"/>
        <v>#VALUE!</v>
      </c>
      <c r="CG52" s="71" t="str">
        <f>IF(OR(COUNTBLANK(CJ52)=1,ISERROR(CJ52)),"",COUNT($CJ$4:CJ52))</f>
        <v/>
      </c>
      <c r="CH52" s="7" t="e">
        <f t="shared" si="62"/>
        <v>#VALUE!</v>
      </c>
      <c r="CI52" s="1" t="str">
        <f t="shared" si="63"/>
        <v/>
      </c>
      <c r="CJ52" s="79" t="e">
        <f>IF(IF(COUNTIF($CJ$4:CJ51,CJ49)&gt;=MAX($D$4:$D$8),CJ49+3,CJ49)&gt;55,"",IF(COUNTIF($CJ$4:CJ51,CJ49)&gt;=MAX($D$4:$D$8),CJ49+3,CJ49))</f>
        <v>#VALUE!</v>
      </c>
      <c r="CK52" s="1" t="e">
        <f t="shared" si="30"/>
        <v>#VALUE!</v>
      </c>
      <c r="CL52" s="8" t="str">
        <f t="shared" si="64"/>
        <v/>
      </c>
      <c r="CN52" s="71" t="e">
        <f t="shared" si="51"/>
        <v>#VALUE!</v>
      </c>
      <c r="CO52" s="71" t="str">
        <f>IF(OR(COUNTBLANK(CR52)=1,ISERROR(CR52)),"",COUNT($CR$4:CR52))</f>
        <v/>
      </c>
      <c r="CP52" s="7" t="e">
        <f t="shared" si="52"/>
        <v>#VALUE!</v>
      </c>
      <c r="CQ52" s="1" t="str">
        <f t="shared" si="53"/>
        <v/>
      </c>
      <c r="CR52" s="79" t="e">
        <f>IF(IF(COUNTIF($CR$4:CR51,CR48)&gt;=MAX($D$4:$D$8),CR48+4,CR48)&gt;55,"",IF(COUNTIF($CR$4:CR51,CR48)&gt;=MAX($D$4:$D$8),CR48+4,CR48))</f>
        <v>#VALUE!</v>
      </c>
      <c r="CS52" s="1" t="e">
        <f t="shared" si="35"/>
        <v>#VALUE!</v>
      </c>
      <c r="CT52" s="8" t="str">
        <f t="shared" si="54"/>
        <v/>
      </c>
      <c r="CV52" s="71" t="e">
        <f t="shared" si="65"/>
        <v>#VALUE!</v>
      </c>
      <c r="CW52" s="71" t="str">
        <f>IF(OR(COUNTBLANK(CZ52)=1,ISERROR(CZ52)),"",COUNT($CZ$4:CZ52))</f>
        <v/>
      </c>
      <c r="CX52" s="7" t="e">
        <f t="shared" si="66"/>
        <v>#VALUE!</v>
      </c>
      <c r="CY52" s="1" t="str">
        <f t="shared" si="67"/>
        <v/>
      </c>
      <c r="CZ52" s="79" t="e">
        <f>IF(IF(COUNTIF($CZ$4:CZ51,CZ47)&gt;=MAX($D$4:$D$8),CZ47+5,CZ47)&gt;55,"",IF(COUNTIF($CZ$4:CZ51,CZ47)&gt;=MAX($D$4:$D$8),CZ47+5,CZ47))</f>
        <v>#VALUE!</v>
      </c>
      <c r="DA52" s="1" t="e">
        <f t="shared" si="40"/>
        <v>#VALUE!</v>
      </c>
      <c r="DB52" s="8" t="str">
        <f t="shared" si="68"/>
        <v/>
      </c>
    </row>
    <row r="53" spans="5:106" x14ac:dyDescent="0.15">
      <c r="E53" s="1">
        <v>50</v>
      </c>
      <c r="F53" s="1">
        <f t="shared" si="42"/>
        <v>1</v>
      </c>
      <c r="G53" s="1">
        <f t="shared" si="60"/>
        <v>1</v>
      </c>
      <c r="H53" s="1">
        <f t="shared" si="45"/>
        <v>1</v>
      </c>
      <c r="I53" s="1">
        <f t="shared" si="50"/>
        <v>1</v>
      </c>
      <c r="J53" s="1">
        <f t="shared" si="55"/>
        <v>1</v>
      </c>
      <c r="L53" s="1" t="str">
        <f>IF(ISERROR(HLOOKUP($C$10,$F$3:$J$253,51,0)),"",HLOOKUP($C$10,$F$3:$J$253,51,0))</f>
        <v/>
      </c>
      <c r="S53" s="9">
        <v>50</v>
      </c>
      <c r="T53" s="1">
        <v>30</v>
      </c>
      <c r="U53" s="1" t="s">
        <v>44</v>
      </c>
      <c r="W53" s="71" t="e">
        <f>IF(AA53="","",AA53*10+5)</f>
        <v>#VALUE!</v>
      </c>
      <c r="X53" s="71" t="str">
        <f>IF(OR(COUNTBLANK(AA53)=1,ISERROR(AA53)),"",COUNT(AA4:AA53))</f>
        <v/>
      </c>
      <c r="Y53" s="7" t="e">
        <f t="shared" si="0"/>
        <v>#VALUE!</v>
      </c>
      <c r="Z53" s="1" t="str">
        <f t="shared" si="17"/>
        <v/>
      </c>
      <c r="AA53" s="79" t="e">
        <f>IF(IF(COUNTIF(AA4:AA52,AA52)&gt;=MAX(D4:D8),AA52+1,AA52)&gt;50,"",IF(COUNTIF(AA4:AA52,AA52)&gt;=MAX(D4:D8),AA52+1,AA52))</f>
        <v>#VALUE!</v>
      </c>
      <c r="AB53" s="1" t="e">
        <f>IF(AA53="","",VLOOKUP(AA53,S4:U53,3,0))</f>
        <v>#VALUE!</v>
      </c>
      <c r="AC53" s="8" t="str">
        <f t="shared" si="1"/>
        <v/>
      </c>
      <c r="AE53" s="71" t="e">
        <f t="shared" si="2"/>
        <v>#VALUE!</v>
      </c>
      <c r="AF53" s="71" t="str">
        <f>IF(OR(COUNTBLANK(AI53)=1,ISERROR(AI53)),"",COUNT(AI4:AI53))</f>
        <v/>
      </c>
      <c r="AG53" s="7" t="e">
        <f t="shared" si="3"/>
        <v>#VALUE!</v>
      </c>
      <c r="AH53" s="1" t="str">
        <f>IF(ISERROR(INDEX(C4:C8,MATCH(G53,D4:D8,0))),"",INDEX(C4:C8,MATCH(G53,D4:D8,0)))</f>
        <v/>
      </c>
      <c r="AI53" s="79" t="e">
        <f>IF(IF(COUNTIF(AI4:AI51,AI51)&gt;=MAX(D4:D8),AI51+2,AI51)&gt;50,"",IF(COUNTIF(AI4:AI51,AI51)&gt;=MAX(D4:D8),AI51+2,AI51))</f>
        <v>#VALUE!</v>
      </c>
      <c r="AJ53" s="1" t="e">
        <f>IF(AI53="","",VLOOKUP(AI53,S4:U53,3,0))</f>
        <v>#VALUE!</v>
      </c>
      <c r="AK53" s="8" t="str">
        <f t="shared" si="4"/>
        <v/>
      </c>
      <c r="AM53" s="71" t="e">
        <f t="shared" si="5"/>
        <v>#VALUE!</v>
      </c>
      <c r="AN53" s="71" t="str">
        <f>IF(OR(COUNTBLANK(AQ53)=1,ISERROR(AQ53)),"",COUNT(AQ4:AQ53))</f>
        <v/>
      </c>
      <c r="AO53" s="7" t="e">
        <f t="shared" si="6"/>
        <v>#VALUE!</v>
      </c>
      <c r="AP53" s="1" t="str">
        <f>IF(ISERROR(INDEX(C4:C8,MATCH(H53,D4:D8,0))),"",INDEX(C4:C8,MATCH(H53,D4:D8,0)))</f>
        <v/>
      </c>
      <c r="AQ53" s="79" t="e">
        <f>IF(IF(COUNTIF(AQ4:AQ52,AQ50)&gt;=MAX(D4:D8),AQ50+3,AQ50)&gt;50,"",IF(COUNTIF(AQ4:AQ52,AQ50)&gt;=MAX(D4:D8),AQ50+3,AQ50))</f>
        <v>#VALUE!</v>
      </c>
      <c r="AR53" s="1" t="e">
        <f>IF(AQ53="","",VLOOKUP(AQ53,S4:U53,3,0))</f>
        <v>#VALUE!</v>
      </c>
      <c r="AS53" s="8" t="str">
        <f t="shared" si="7"/>
        <v/>
      </c>
      <c r="AU53" s="71" t="e">
        <f t="shared" si="8"/>
        <v>#VALUE!</v>
      </c>
      <c r="AV53" s="71" t="str">
        <f>IF(OR(COUNTBLANK(AY53)=1,ISERROR(AY53)),"",COUNT(AY4:AY53))</f>
        <v/>
      </c>
      <c r="AW53" s="7" t="e">
        <f t="shared" si="9"/>
        <v>#VALUE!</v>
      </c>
      <c r="AX53" s="1" t="str">
        <f>IF(ISERROR(INDEX(C4:C8,MATCH(I53,D4:D8,0))),"",INDEX(C4:C8,MATCH(I53,D4:D8,0)))</f>
        <v/>
      </c>
      <c r="AY53" s="79" t="e">
        <f>IF(IF(COUNTIF(AY4:AY52,AY49)&gt;=MAX(D4:D8),AY49+4,AY49)&gt;50,"",IF(COUNTIF(AY4:AY52,AY49)&gt;=MAX(D4:D8),AY49+4,AY49))</f>
        <v>#VALUE!</v>
      </c>
      <c r="AZ53" s="76" t="e">
        <f>IF(AY53="","",VLOOKUP(AY53,S4:U53,3,0))</f>
        <v>#VALUE!</v>
      </c>
      <c r="BA53" s="8" t="str">
        <f t="shared" si="10"/>
        <v/>
      </c>
      <c r="BC53" s="71" t="e">
        <f t="shared" si="11"/>
        <v>#VALUE!</v>
      </c>
      <c r="BD53" s="71" t="str">
        <f>IF(OR(COUNTBLANK(BG53)=1,ISERROR(BG53)),"",COUNT(BG4:BG53))</f>
        <v/>
      </c>
      <c r="BE53" s="7" t="e">
        <f t="shared" si="12"/>
        <v>#VALUE!</v>
      </c>
      <c r="BF53" s="1" t="str">
        <f>IF(ISERROR(INDEX(C4:C8,MATCH(J53,D4:D8,0))),"",INDEX(C4:C8,MATCH(J53,D4:D8,0)))</f>
        <v/>
      </c>
      <c r="BG53" s="79" t="e">
        <f>IF(IF(COUNTIF(BG4:BG52,BG48)&gt;=MAX(D4:D8),BG48+5,BG48)&gt;50,"",IF(COUNTIF(BG4:BG52,BG48)&gt;=MAX(D4:D8),BG48+5,BG48))</f>
        <v>#VALUE!</v>
      </c>
      <c r="BH53" s="76" t="e">
        <f>IF(BG53="","",VLOOKUP(BG53,S4:U53,3,0))</f>
        <v>#VALUE!</v>
      </c>
      <c r="BI53" s="8" t="str">
        <f t="shared" si="13"/>
        <v/>
      </c>
      <c r="BL53" s="115">
        <v>50</v>
      </c>
      <c r="BM53" s="112">
        <v>25</v>
      </c>
      <c r="BN53" s="112" t="s">
        <v>39</v>
      </c>
      <c r="BP53" s="71" t="e">
        <f>IF(BT53="","",BT53*10+5)</f>
        <v>#VALUE!</v>
      </c>
      <c r="BQ53" s="71" t="str">
        <f>IF(OR(COUNTBLANK(BT53)=1,ISERROR(BT53)),"",COUNT(BT4:BT53))</f>
        <v/>
      </c>
      <c r="BR53" s="7" t="e">
        <f t="shared" si="18"/>
        <v>#VALUE!</v>
      </c>
      <c r="BS53" s="1" t="str">
        <f t="shared" si="19"/>
        <v/>
      </c>
      <c r="BT53" s="79" t="e">
        <f>IF(IF(COUNTIF($BT$4:BT52,BT52)&gt;=MAX($D$4:$D$8),BT52+1,BT52)&gt;55,"",IF(COUNTIF($BT$4:BT52,BT52)&gt;=MAX($D$4:$D$8),BT52+1,BT52))</f>
        <v>#VALUE!</v>
      </c>
      <c r="BU53" s="1" t="e">
        <f t="shared" si="20"/>
        <v>#VALUE!</v>
      </c>
      <c r="BV53" s="8" t="str">
        <f t="shared" si="21"/>
        <v/>
      </c>
      <c r="BX53" s="71" t="e">
        <f t="shared" si="22"/>
        <v>#VALUE!</v>
      </c>
      <c r="BY53" s="71" t="str">
        <f>IF(OR(COUNTBLANK(CB53)=1,ISERROR(CB53)),"",COUNT($CB$4:CB53))</f>
        <v/>
      </c>
      <c r="BZ53" s="7" t="e">
        <f t="shared" si="23"/>
        <v>#VALUE!</v>
      </c>
      <c r="CA53" s="1" t="str">
        <f t="shared" si="24"/>
        <v/>
      </c>
      <c r="CB53" s="79" t="e">
        <f>IF(IF(COUNTIF($CB$4:CB52,CB51)&gt;=MAX($D$4:$D$8),CB51+2,CB51)&gt;55,"",IF(COUNTIF($CB$4:CB52,CB51)&gt;=MAX($D$4:$D$8),CB51+2,CB51))</f>
        <v>#VALUE!</v>
      </c>
      <c r="CC53" s="1" t="e">
        <f t="shared" si="25"/>
        <v>#VALUE!</v>
      </c>
      <c r="CD53" s="8" t="str">
        <f t="shared" si="26"/>
        <v/>
      </c>
      <c r="CF53" s="71" t="e">
        <f t="shared" si="61"/>
        <v>#VALUE!</v>
      </c>
      <c r="CG53" s="71" t="str">
        <f>IF(OR(COUNTBLANK(CJ53)=1,ISERROR(CJ53)),"",COUNT($CJ$4:CJ53))</f>
        <v/>
      </c>
      <c r="CH53" s="7" t="e">
        <f t="shared" si="62"/>
        <v>#VALUE!</v>
      </c>
      <c r="CI53" s="1" t="str">
        <f t="shared" si="63"/>
        <v/>
      </c>
      <c r="CJ53" s="79" t="e">
        <f>IF(IF(COUNTIF($CJ$4:CJ52,CJ50)&gt;=MAX($D$4:$D$8),CJ50+3,CJ50)&gt;55,"",IF(COUNTIF($CJ$4:CJ52,CJ50)&gt;=MAX($D$4:$D$8),CJ50+3,CJ50))</f>
        <v>#VALUE!</v>
      </c>
      <c r="CK53" s="1" t="e">
        <f t="shared" si="30"/>
        <v>#VALUE!</v>
      </c>
      <c r="CL53" s="8" t="str">
        <f t="shared" si="64"/>
        <v/>
      </c>
      <c r="CN53" s="71" t="e">
        <f t="shared" si="51"/>
        <v>#VALUE!</v>
      </c>
      <c r="CO53" s="71" t="str">
        <f>IF(OR(COUNTBLANK(CR53)=1,ISERROR(CR53)),"",COUNT($CR$4:CR53))</f>
        <v/>
      </c>
      <c r="CP53" s="7" t="e">
        <f t="shared" si="52"/>
        <v>#VALUE!</v>
      </c>
      <c r="CQ53" s="1" t="str">
        <f t="shared" si="53"/>
        <v/>
      </c>
      <c r="CR53" s="79" t="e">
        <f>IF(IF(COUNTIF($CR$4:CR52,CR49)&gt;=MAX($D$4:$D$8),CR49+4,CR49)&gt;55,"",IF(COUNTIF($CR$4:CR52,CR49)&gt;=MAX($D$4:$D$8),CR49+4,CR49))</f>
        <v>#VALUE!</v>
      </c>
      <c r="CS53" s="1" t="e">
        <f t="shared" si="35"/>
        <v>#VALUE!</v>
      </c>
      <c r="CT53" s="8" t="str">
        <f t="shared" si="54"/>
        <v/>
      </c>
      <c r="CV53" s="71" t="e">
        <f t="shared" si="65"/>
        <v>#VALUE!</v>
      </c>
      <c r="CW53" s="71" t="str">
        <f>IF(OR(COUNTBLANK(CZ53)=1,ISERROR(CZ53)),"",COUNT($CZ$4:CZ53))</f>
        <v/>
      </c>
      <c r="CX53" s="7" t="e">
        <f t="shared" si="66"/>
        <v>#VALUE!</v>
      </c>
      <c r="CY53" s="1" t="str">
        <f t="shared" si="67"/>
        <v/>
      </c>
      <c r="CZ53" s="79" t="e">
        <f>IF(IF(COUNTIF($CZ$4:CZ52,CZ48)&gt;=MAX($D$4:$D$8),CZ48+5,CZ48)&gt;55,"",IF(COUNTIF($CZ$4:CZ52,CZ48)&gt;=MAX($D$4:$D$8),CZ48+5,CZ48))</f>
        <v>#VALUE!</v>
      </c>
      <c r="DA53" s="1" t="e">
        <f t="shared" si="40"/>
        <v>#VALUE!</v>
      </c>
      <c r="DB53" s="8" t="str">
        <f t="shared" si="68"/>
        <v/>
      </c>
    </row>
    <row r="54" spans="5:106" x14ac:dyDescent="0.15">
      <c r="E54" s="1">
        <v>51</v>
      </c>
      <c r="F54" s="1">
        <f t="shared" si="42"/>
        <v>1</v>
      </c>
      <c r="G54" s="1">
        <f t="shared" si="60"/>
        <v>1</v>
      </c>
      <c r="H54" s="1">
        <f t="shared" si="45"/>
        <v>1</v>
      </c>
      <c r="I54" s="1">
        <f t="shared" si="50"/>
        <v>1</v>
      </c>
      <c r="J54" s="1">
        <f t="shared" si="55"/>
        <v>1</v>
      </c>
      <c r="L54" s="1" t="str">
        <f>IF(ISERROR(HLOOKUP($C$10,$F$3:$J$253,52,0)),"",HLOOKUP($C$10,$F$3:$J$253,52,0))</f>
        <v/>
      </c>
      <c r="W54" s="71" t="e">
        <f>IF(AA54="","",AA54*10+1)</f>
        <v>#VALUE!</v>
      </c>
      <c r="X54" s="71" t="str">
        <f>IF(OR(COUNTBLANK(AA54)=1,ISERROR(AA54)),"",COUNT(AA4:AA54))</f>
        <v/>
      </c>
      <c r="Y54" s="7" t="e">
        <f t="shared" si="0"/>
        <v>#VALUE!</v>
      </c>
      <c r="Z54" s="1" t="str">
        <f t="shared" si="17"/>
        <v/>
      </c>
      <c r="AA54" s="79" t="e">
        <f>IF(IF(COUNTIF(AA4:AA53,AA53)&gt;=MAX(D4:D8),AA53+1,AA53)&gt;50,"",IF(COUNTIF(AA4:AA53,AA53)&gt;=MAX(D4:D8),AA53+1,AA53))</f>
        <v>#VALUE!</v>
      </c>
      <c r="AB54" s="1" t="e">
        <f>IF(AA54="","",VLOOKUP(AA54,S4:U53,3,0))</f>
        <v>#VALUE!</v>
      </c>
      <c r="AC54" s="8" t="str">
        <f t="shared" si="1"/>
        <v/>
      </c>
      <c r="AE54" s="71" t="e">
        <f t="shared" si="2"/>
        <v>#VALUE!</v>
      </c>
      <c r="AF54" s="71" t="str">
        <f>IF(OR(COUNTBLANK(AI54)=1,ISERROR(AI54)),"",COUNT(AI4:AI54))</f>
        <v/>
      </c>
      <c r="AG54" s="7" t="e">
        <f t="shared" si="3"/>
        <v>#VALUE!</v>
      </c>
      <c r="AH54" s="1" t="str">
        <f>IF(ISERROR(INDEX(C4:C8,MATCH(G54,D4:D8,0))),"",INDEX(C4:C8,MATCH(G54,D4:D8,0)))</f>
        <v/>
      </c>
      <c r="AI54" s="79" t="e">
        <f>IF(IF(COUNTIF(AI4:AI53,AI52)&gt;=MAX(D4:D8),AI52+2,AI52)&gt;50,"",IF(COUNTIF(AI4:AI53,AI52)&gt;=MAX(D4:D8),AI52+2,AI52))</f>
        <v>#VALUE!</v>
      </c>
      <c r="AJ54" s="1" t="e">
        <f>IF(AI54="","",VLOOKUP(AI54,S4:U53,3,0))</f>
        <v>#VALUE!</v>
      </c>
      <c r="AK54" s="8" t="str">
        <f t="shared" si="4"/>
        <v/>
      </c>
      <c r="AM54" s="71" t="e">
        <f t="shared" si="5"/>
        <v>#VALUE!</v>
      </c>
      <c r="AN54" s="71" t="str">
        <f>IF(OR(COUNTBLANK(AQ54)=1,ISERROR(AQ54)),"",COUNT(AQ4:AQ54))</f>
        <v/>
      </c>
      <c r="AO54" s="7" t="e">
        <f t="shared" si="6"/>
        <v>#VALUE!</v>
      </c>
      <c r="AP54" s="1" t="str">
        <f>IF(ISERROR(INDEX(C4:C8,MATCH(H54,D4:D8,0))),"",INDEX(C4:C8,MATCH(H54,D4:D8,0)))</f>
        <v/>
      </c>
      <c r="AQ54" s="79" t="e">
        <f>IF(IF(COUNTIF(AQ4:AQ53,AQ51)&gt;=MAX(D4:D8),AQ51+3,AQ51)&gt;50,"",IF(COUNTIF(AQ4:AQ53,AQ51)&gt;=MAX(D4:D8),AQ51+3,AQ51))</f>
        <v>#VALUE!</v>
      </c>
      <c r="AR54" s="1" t="e">
        <f>IF(AQ54="","",VLOOKUP(AQ54,S4:U53,3,0))</f>
        <v>#VALUE!</v>
      </c>
      <c r="AS54" s="8" t="str">
        <f t="shared" si="7"/>
        <v/>
      </c>
      <c r="AU54" s="71" t="e">
        <f t="shared" si="8"/>
        <v>#VALUE!</v>
      </c>
      <c r="AV54" s="71" t="str">
        <f>IF(OR(COUNTBLANK(AY54)=1,ISERROR(AY54)),"",COUNT(AY4:AY54))</f>
        <v/>
      </c>
      <c r="AW54" s="7" t="e">
        <f t="shared" si="9"/>
        <v>#VALUE!</v>
      </c>
      <c r="AX54" s="1" t="str">
        <f>IF(ISERROR(INDEX(C4:C8,MATCH(I54,D4:D8,0))),"",INDEX(C4:C8,MATCH(I54,D4:D8,0)))</f>
        <v/>
      </c>
      <c r="AY54" s="79" t="e">
        <f>IF(IF(COUNTIF(AY4:AY53,AY50)&gt;=MAX(D4:D8),AY50+4,AY50)&gt;50,"",IF(COUNTIF(AY4:AY53,AY50)&gt;=MAX(D4:D8),AY50+4,AY50))</f>
        <v>#VALUE!</v>
      </c>
      <c r="AZ54" s="76" t="e">
        <f>IF(AY54="","",VLOOKUP(AY54,S4:U53,3,0))</f>
        <v>#VALUE!</v>
      </c>
      <c r="BA54" s="8" t="str">
        <f t="shared" si="10"/>
        <v/>
      </c>
      <c r="BC54" s="71" t="e">
        <f t="shared" si="11"/>
        <v>#VALUE!</v>
      </c>
      <c r="BD54" s="71" t="str">
        <f>IF(OR(COUNTBLANK(BG54)=1,ISERROR(BG54)),"",COUNT(BG4:BG54))</f>
        <v/>
      </c>
      <c r="BE54" s="7" t="e">
        <f t="shared" si="12"/>
        <v>#VALUE!</v>
      </c>
      <c r="BF54" s="1" t="str">
        <f>IF(ISERROR(INDEX(C4:C8,MATCH(J54,D4:D8,0))),"",INDEX(C4:C8,MATCH(J54,D4:D8,0)))</f>
        <v/>
      </c>
      <c r="BG54" s="79" t="e">
        <f>IF(IF(COUNTIF(BG4:BG53,BG49)&gt;=MAX(D4:D8),BG49+5,BG49)&gt;50,"",IF(COUNTIF(BG4:BG53,BG49)&gt;=MAX(D4:D8),BG49+5,BG49))</f>
        <v>#VALUE!</v>
      </c>
      <c r="BH54" s="76" t="e">
        <f>IF(BG54="","",VLOOKUP(BG54,S4:U53,3,0))</f>
        <v>#VALUE!</v>
      </c>
      <c r="BI54" s="8" t="str">
        <f t="shared" si="13"/>
        <v/>
      </c>
      <c r="BL54" s="115">
        <v>51</v>
      </c>
      <c r="BM54" s="112">
        <v>26</v>
      </c>
      <c r="BN54" s="112" t="s">
        <v>40</v>
      </c>
      <c r="BP54" s="71" t="e">
        <f>IF(BT54="","",BT54*10+1)</f>
        <v>#VALUE!</v>
      </c>
      <c r="BQ54" s="71" t="str">
        <f>IF(OR(COUNTBLANK(BT54)=1,ISERROR(BT54)),"",COUNT(BT4:BT54))</f>
        <v/>
      </c>
      <c r="BR54" s="7" t="e">
        <f t="shared" si="18"/>
        <v>#VALUE!</v>
      </c>
      <c r="BS54" s="1" t="str">
        <f t="shared" si="19"/>
        <v/>
      </c>
      <c r="BT54" s="79" t="e">
        <f>IF(IF(COUNTIF($BT$4:BT53,BT53)&gt;=MAX($D$4:$D$8),BT53+1,BT53)&gt;55,"",IF(COUNTIF($BT$4:BT53,BT53)&gt;=MAX($D$4:$D$8),BT53+1,BT53))</f>
        <v>#VALUE!</v>
      </c>
      <c r="BU54" s="1" t="e">
        <f t="shared" si="20"/>
        <v>#VALUE!</v>
      </c>
      <c r="BV54" s="8" t="str">
        <f t="shared" si="21"/>
        <v/>
      </c>
      <c r="BX54" s="71" t="e">
        <f t="shared" si="22"/>
        <v>#VALUE!</v>
      </c>
      <c r="BY54" s="71" t="str">
        <f>IF(OR(COUNTBLANK(CB54)=1,ISERROR(CB54)),"",COUNT($CB$4:CB54))</f>
        <v/>
      </c>
      <c r="BZ54" s="7" t="e">
        <f t="shared" si="23"/>
        <v>#VALUE!</v>
      </c>
      <c r="CA54" s="1" t="str">
        <f t="shared" si="24"/>
        <v/>
      </c>
      <c r="CB54" s="79" t="e">
        <f>IF(IF(COUNTIF($CB$4:CB53,CB52)&gt;=MAX($D$4:$D$8),CB52+2,CB52)&gt;55,"",IF(COUNTIF($CB$4:CB53,CB52)&gt;=MAX($D$4:$D$8),CB52+2,CB52))</f>
        <v>#VALUE!</v>
      </c>
      <c r="CC54" s="1" t="e">
        <f t="shared" si="25"/>
        <v>#VALUE!</v>
      </c>
      <c r="CD54" s="8" t="str">
        <f t="shared" si="26"/>
        <v/>
      </c>
      <c r="CF54" s="71" t="e">
        <f t="shared" si="61"/>
        <v>#VALUE!</v>
      </c>
      <c r="CG54" s="71" t="str">
        <f>IF(OR(COUNTBLANK(CJ54)=1,ISERROR(CJ54)),"",COUNT($CJ$4:CJ54))</f>
        <v/>
      </c>
      <c r="CH54" s="7" t="e">
        <f t="shared" si="62"/>
        <v>#VALUE!</v>
      </c>
      <c r="CI54" s="1" t="str">
        <f t="shared" si="63"/>
        <v/>
      </c>
      <c r="CJ54" s="79" t="e">
        <f>IF(IF(COUNTIF($CJ$4:CJ53,CJ51)&gt;=MAX($D$4:$D$8),CJ51+3,CJ51)&gt;55,"",IF(COUNTIF($CJ$4:CJ53,CJ51)&gt;=MAX($D$4:$D$8),CJ51+3,CJ51))</f>
        <v>#VALUE!</v>
      </c>
      <c r="CK54" s="1" t="e">
        <f t="shared" si="30"/>
        <v>#VALUE!</v>
      </c>
      <c r="CL54" s="8" t="str">
        <f t="shared" si="64"/>
        <v/>
      </c>
      <c r="CN54" s="71" t="e">
        <f t="shared" si="51"/>
        <v>#VALUE!</v>
      </c>
      <c r="CO54" s="71" t="str">
        <f>IF(OR(COUNTBLANK(CR54)=1,ISERROR(CR54)),"",COUNT($CR$4:CR54))</f>
        <v/>
      </c>
      <c r="CP54" s="7" t="e">
        <f t="shared" si="52"/>
        <v>#VALUE!</v>
      </c>
      <c r="CQ54" s="1" t="str">
        <f t="shared" si="53"/>
        <v/>
      </c>
      <c r="CR54" s="79" t="e">
        <f>IF(IF(COUNTIF($CR$4:CR53,CR50)&gt;=MAX($D$4:$D$8),CR50+4,CR50)&gt;55,"",IF(COUNTIF($CR$4:CR53,CR50)&gt;=MAX($D$4:$D$8),CR50+4,CR50))</f>
        <v>#VALUE!</v>
      </c>
      <c r="CS54" s="1" t="e">
        <f t="shared" si="35"/>
        <v>#VALUE!</v>
      </c>
      <c r="CT54" s="8" t="str">
        <f t="shared" si="54"/>
        <v/>
      </c>
      <c r="CV54" s="71" t="e">
        <f t="shared" si="65"/>
        <v>#VALUE!</v>
      </c>
      <c r="CW54" s="71" t="str">
        <f>IF(OR(COUNTBLANK(CZ54)=1,ISERROR(CZ54)),"",COUNT($CZ$4:CZ54))</f>
        <v/>
      </c>
      <c r="CX54" s="7" t="e">
        <f t="shared" si="66"/>
        <v>#VALUE!</v>
      </c>
      <c r="CY54" s="1" t="str">
        <f t="shared" si="67"/>
        <v/>
      </c>
      <c r="CZ54" s="79" t="e">
        <f>IF(IF(COUNTIF($CZ$4:CZ53,CZ49)&gt;=MAX($D$4:$D$8),CZ49+5,CZ49)&gt;55,"",IF(COUNTIF($CZ$4:CZ53,CZ49)&gt;=MAX($D$4:$D$8),CZ49+5,CZ49))</f>
        <v>#VALUE!</v>
      </c>
      <c r="DA54" s="1" t="e">
        <f t="shared" si="40"/>
        <v>#VALUE!</v>
      </c>
      <c r="DB54" s="8" t="str">
        <f t="shared" si="68"/>
        <v/>
      </c>
    </row>
    <row r="55" spans="5:106" x14ac:dyDescent="0.15">
      <c r="E55" s="1">
        <v>52</v>
      </c>
      <c r="F55" s="1">
        <f t="shared" si="42"/>
        <v>1</v>
      </c>
      <c r="G55" s="1">
        <f t="shared" si="60"/>
        <v>1</v>
      </c>
      <c r="H55" s="1">
        <f t="shared" si="45"/>
        <v>1</v>
      </c>
      <c r="I55" s="1">
        <f t="shared" si="50"/>
        <v>1</v>
      </c>
      <c r="J55" s="1">
        <f t="shared" si="55"/>
        <v>1</v>
      </c>
      <c r="L55" s="1" t="str">
        <f>IF(ISERROR(HLOOKUP($C$10,$F$3:$J$253,53,0)),"",HLOOKUP($C$10,$F$3:$J$253,53,0))</f>
        <v/>
      </c>
      <c r="W55" s="71" t="e">
        <f>IF(AA55="","",AA55*10+2)</f>
        <v>#VALUE!</v>
      </c>
      <c r="X55" s="71" t="str">
        <f>IF(OR(COUNTBLANK(AA55)=1,ISERROR(AA55)),"",COUNT(AA4:AA55))</f>
        <v/>
      </c>
      <c r="Y55" s="7" t="e">
        <f t="shared" si="0"/>
        <v>#VALUE!</v>
      </c>
      <c r="Z55" s="1" t="str">
        <f t="shared" si="17"/>
        <v/>
      </c>
      <c r="AA55" s="79" t="e">
        <f>IF(IF(COUNTIF(AA4:AA54,AA54)&gt;=MAX(D4:D8),AA54+1,AA54)&gt;50,"",IF(COUNTIF(AA4:AA54,AA54)&gt;=MAX(D4:D8),AA54+1,AA54))</f>
        <v>#VALUE!</v>
      </c>
      <c r="AB55" s="1" t="e">
        <f>IF(AA55="","",VLOOKUP(AA55,S4:U53,3,0))</f>
        <v>#VALUE!</v>
      </c>
      <c r="AC55" s="8" t="str">
        <f t="shared" si="1"/>
        <v/>
      </c>
      <c r="AE55" s="71" t="e">
        <f t="shared" si="2"/>
        <v>#VALUE!</v>
      </c>
      <c r="AF55" s="71" t="str">
        <f>IF(OR(COUNTBLANK(AI55)=1,ISERROR(AI55)),"",COUNT(AI4:AI55))</f>
        <v/>
      </c>
      <c r="AG55" s="7" t="e">
        <f t="shared" si="3"/>
        <v>#VALUE!</v>
      </c>
      <c r="AH55" s="1" t="str">
        <f>IF(ISERROR(INDEX(C4:C8,MATCH(G55,D4:D8,0))),"",INDEX(C4:C8,MATCH(G55,D4:D8,0)))</f>
        <v/>
      </c>
      <c r="AI55" s="79" t="e">
        <f>IF(IF(COUNTIF(AI4:AI53,AI53)&gt;=MAX(D4:D8),AI53+2,AI53)&gt;50,"",IF(COUNTIF(AI4:AI53,AI53)&gt;=MAX(D4:D8),AI53+2,AI53))</f>
        <v>#VALUE!</v>
      </c>
      <c r="AJ55" s="1" t="e">
        <f>IF(AI55="","",VLOOKUP(AI55,S4:U53,3,0))</f>
        <v>#VALUE!</v>
      </c>
      <c r="AK55" s="8" t="str">
        <f t="shared" si="4"/>
        <v/>
      </c>
      <c r="AM55" s="71" t="e">
        <f t="shared" si="5"/>
        <v>#VALUE!</v>
      </c>
      <c r="AN55" s="71" t="str">
        <f>IF(OR(COUNTBLANK(AQ55)=1,ISERROR(AQ55)),"",COUNT(AQ4:AQ55))</f>
        <v/>
      </c>
      <c r="AO55" s="7" t="e">
        <f t="shared" si="6"/>
        <v>#VALUE!</v>
      </c>
      <c r="AP55" s="1" t="str">
        <f>IF(ISERROR(INDEX(C4:C8,MATCH(H55,D4:D8,0))),"",INDEX(C4:C8,MATCH(H55,D4:D8,0)))</f>
        <v/>
      </c>
      <c r="AQ55" s="79" t="e">
        <f>IF(IF(COUNTIF(AQ4:AQ54,AQ52)&gt;=MAX(D4:D8),AQ52+3,AQ52)&gt;50,"",IF(COUNTIF(AQ4:AQ54,AQ52)&gt;=MAX(D4:D8),AQ52+3,AQ52))</f>
        <v>#VALUE!</v>
      </c>
      <c r="AR55" s="1" t="e">
        <f>IF(AQ55="","",VLOOKUP(AQ55,S4:U53,3,0))</f>
        <v>#VALUE!</v>
      </c>
      <c r="AS55" s="8" t="str">
        <f t="shared" si="7"/>
        <v/>
      </c>
      <c r="AU55" s="71" t="e">
        <f t="shared" si="8"/>
        <v>#VALUE!</v>
      </c>
      <c r="AV55" s="71" t="str">
        <f>IF(OR(COUNTBLANK(AY55)=1,ISERROR(AY55)),"",COUNT(AY4:AY55))</f>
        <v/>
      </c>
      <c r="AW55" s="7" t="e">
        <f t="shared" si="9"/>
        <v>#VALUE!</v>
      </c>
      <c r="AX55" s="1" t="str">
        <f>IF(ISERROR(INDEX(C4:C8,MATCH(I55,D4:D8,0))),"",INDEX(C4:C8,MATCH(I55,D4:D8,0)))</f>
        <v/>
      </c>
      <c r="AY55" s="79" t="e">
        <f>IF(IF(COUNTIF(AY4:AY54,AY51)&gt;=MAX(D4:D8),AY51+4,AY51)&gt;50,"",IF(COUNTIF(AY4:AY54,AY51)&gt;=MAX(D4:D8),AY51+4,AY51))</f>
        <v>#VALUE!</v>
      </c>
      <c r="AZ55" s="76" t="e">
        <f>IF(AY55="","",VLOOKUP(AY55,S4:U53,3,0))</f>
        <v>#VALUE!</v>
      </c>
      <c r="BA55" s="8" t="str">
        <f t="shared" si="10"/>
        <v/>
      </c>
      <c r="BC55" s="71" t="e">
        <f t="shared" si="11"/>
        <v>#VALUE!</v>
      </c>
      <c r="BD55" s="71" t="str">
        <f>IF(OR(COUNTBLANK(BG55)=1,ISERROR(BG55)),"",COUNT(BG4:BG55))</f>
        <v/>
      </c>
      <c r="BE55" s="7" t="e">
        <f t="shared" si="12"/>
        <v>#VALUE!</v>
      </c>
      <c r="BF55" s="1" t="str">
        <f>IF(ISERROR(INDEX(C4:C8,MATCH(J55,D4:D8,0))),"",INDEX(C4:C8,MATCH(J55,D4:D8,0)))</f>
        <v/>
      </c>
      <c r="BG55" s="79" t="e">
        <f>IF(IF(COUNTIF(BG4:BG54,BG50)&gt;=MAX(D4:D8),BG50+5,BG50)&gt;50,"",IF(COUNTIF(BG4:BG54,BG50)&gt;=MAX(D4:D8),BG50+5,BG50))</f>
        <v>#VALUE!</v>
      </c>
      <c r="BH55" s="76" t="e">
        <f>IF(BG55="","",VLOOKUP(BG55,S4:U53,3,0))</f>
        <v>#VALUE!</v>
      </c>
      <c r="BI55" s="8" t="str">
        <f t="shared" si="13"/>
        <v/>
      </c>
      <c r="BL55" s="115">
        <v>52</v>
      </c>
      <c r="BM55" s="112">
        <v>27</v>
      </c>
      <c r="BN55" s="112" t="s">
        <v>41</v>
      </c>
      <c r="BP55" s="71" t="e">
        <f>IF(BT55="","",BT55*10+2)</f>
        <v>#VALUE!</v>
      </c>
      <c r="BQ55" s="71" t="str">
        <f>IF(OR(COUNTBLANK(BT55)=1,ISERROR(BT55)),"",COUNT(BT4:BT55))</f>
        <v/>
      </c>
      <c r="BR55" s="7" t="e">
        <f t="shared" si="18"/>
        <v>#VALUE!</v>
      </c>
      <c r="BS55" s="1" t="str">
        <f t="shared" si="19"/>
        <v/>
      </c>
      <c r="BT55" s="79" t="e">
        <f>IF(IF(COUNTIF($BT$4:BT54,BT54)&gt;=MAX($D$4:$D$8),BT54+1,BT54)&gt;55,"",IF(COUNTIF($BT$4:BT54,BT54)&gt;=MAX($D$4:$D$8),BT54+1,BT54))</f>
        <v>#VALUE!</v>
      </c>
      <c r="BU55" s="1" t="e">
        <f t="shared" si="20"/>
        <v>#VALUE!</v>
      </c>
      <c r="BV55" s="8" t="str">
        <f t="shared" si="21"/>
        <v/>
      </c>
      <c r="BX55" s="71" t="e">
        <f t="shared" si="22"/>
        <v>#VALUE!</v>
      </c>
      <c r="BY55" s="71" t="str">
        <f>IF(OR(COUNTBLANK(CB55)=1,ISERROR(CB55)),"",COUNT($CB$4:CB55))</f>
        <v/>
      </c>
      <c r="BZ55" s="7" t="e">
        <f t="shared" si="23"/>
        <v>#VALUE!</v>
      </c>
      <c r="CA55" s="1" t="str">
        <f t="shared" si="24"/>
        <v/>
      </c>
      <c r="CB55" s="79" t="e">
        <f>IF(IF(COUNTIF($CB$4:CB54,CB53)&gt;=MAX($D$4:$D$8),CB53+2,CB53)&gt;55,"",IF(COUNTIF($CB$4:CB54,CB53)&gt;=MAX($D$4:$D$8),CB53+2,CB53))</f>
        <v>#VALUE!</v>
      </c>
      <c r="CC55" s="1" t="e">
        <f t="shared" si="25"/>
        <v>#VALUE!</v>
      </c>
      <c r="CD55" s="8" t="str">
        <f t="shared" si="26"/>
        <v/>
      </c>
      <c r="CF55" s="71" t="e">
        <f t="shared" si="61"/>
        <v>#VALUE!</v>
      </c>
      <c r="CG55" s="71" t="str">
        <f>IF(OR(COUNTBLANK(CJ55)=1,ISERROR(CJ55)),"",COUNT($CJ$4:CJ55))</f>
        <v/>
      </c>
      <c r="CH55" s="7" t="e">
        <f t="shared" si="62"/>
        <v>#VALUE!</v>
      </c>
      <c r="CI55" s="1" t="str">
        <f t="shared" si="63"/>
        <v/>
      </c>
      <c r="CJ55" s="79" t="e">
        <f>IF(IF(COUNTIF($CJ$4:CJ54,CJ52)&gt;=MAX($D$4:$D$8),CJ52+3,CJ52)&gt;55,"",IF(COUNTIF($CJ$4:CJ54,CJ52)&gt;=MAX($D$4:$D$8),CJ52+3,CJ52))</f>
        <v>#VALUE!</v>
      </c>
      <c r="CK55" s="1" t="e">
        <f t="shared" si="30"/>
        <v>#VALUE!</v>
      </c>
      <c r="CL55" s="8" t="str">
        <f t="shared" si="64"/>
        <v/>
      </c>
      <c r="CN55" s="71" t="e">
        <f t="shared" si="51"/>
        <v>#VALUE!</v>
      </c>
      <c r="CO55" s="71" t="str">
        <f>IF(OR(COUNTBLANK(CR55)=1,ISERROR(CR55)),"",COUNT($CR$4:CR55))</f>
        <v/>
      </c>
      <c r="CP55" s="7" t="e">
        <f t="shared" si="52"/>
        <v>#VALUE!</v>
      </c>
      <c r="CQ55" s="1" t="str">
        <f t="shared" si="53"/>
        <v/>
      </c>
      <c r="CR55" s="79" t="e">
        <f>IF(IF(COUNTIF($CR$4:CR54,CR51)&gt;=MAX($D$4:$D$8),CR51+4,CR51)&gt;55,"",IF(COUNTIF($CR$4:CR54,CR51)&gt;=MAX($D$4:$D$8),CR51+4,CR51))</f>
        <v>#VALUE!</v>
      </c>
      <c r="CS55" s="1" t="e">
        <f t="shared" si="35"/>
        <v>#VALUE!</v>
      </c>
      <c r="CT55" s="8" t="str">
        <f t="shared" si="54"/>
        <v/>
      </c>
      <c r="CV55" s="71" t="e">
        <f t="shared" si="65"/>
        <v>#VALUE!</v>
      </c>
      <c r="CW55" s="71" t="str">
        <f>IF(OR(COUNTBLANK(CZ55)=1,ISERROR(CZ55)),"",COUNT($CZ$4:CZ55))</f>
        <v/>
      </c>
      <c r="CX55" s="7" t="e">
        <f t="shared" si="66"/>
        <v>#VALUE!</v>
      </c>
      <c r="CY55" s="1" t="str">
        <f t="shared" si="67"/>
        <v/>
      </c>
      <c r="CZ55" s="79" t="e">
        <f>IF(IF(COUNTIF($CZ$4:CZ54,CZ50)&gt;=MAX($D$4:$D$8),CZ50+5,CZ50)&gt;55,"",IF(COUNTIF($CZ$4:CZ54,CZ50)&gt;=MAX($D$4:$D$8),CZ50+5,CZ50))</f>
        <v>#VALUE!</v>
      </c>
      <c r="DA55" s="1" t="e">
        <f t="shared" si="40"/>
        <v>#VALUE!</v>
      </c>
      <c r="DB55" s="8" t="str">
        <f t="shared" si="68"/>
        <v/>
      </c>
    </row>
    <row r="56" spans="5:106" x14ac:dyDescent="0.15">
      <c r="E56" s="1">
        <v>53</v>
      </c>
      <c r="F56" s="1">
        <f t="shared" si="42"/>
        <v>1</v>
      </c>
      <c r="G56" s="1">
        <f t="shared" si="60"/>
        <v>1</v>
      </c>
      <c r="H56" s="1">
        <f t="shared" si="45"/>
        <v>1</v>
      </c>
      <c r="I56" s="1">
        <f t="shared" si="50"/>
        <v>1</v>
      </c>
      <c r="J56" s="1">
        <f t="shared" si="55"/>
        <v>1</v>
      </c>
      <c r="L56" s="1" t="str">
        <f>IF(ISERROR(HLOOKUP($C$10,$F$3:$J$253,54,0)),"",HLOOKUP($C$10,$F$3:$J$253,54,0))</f>
        <v/>
      </c>
      <c r="W56" s="71" t="e">
        <f>IF(AA56="","",AA56*10+3)</f>
        <v>#VALUE!</v>
      </c>
      <c r="X56" s="71" t="str">
        <f>IF(OR(COUNTBLANK(AA56)=1,ISERROR(AA56)),"",COUNT(AA4:AA56))</f>
        <v/>
      </c>
      <c r="Y56" s="7" t="e">
        <f t="shared" si="0"/>
        <v>#VALUE!</v>
      </c>
      <c r="Z56" s="1" t="str">
        <f t="shared" si="17"/>
        <v/>
      </c>
      <c r="AA56" s="79" t="e">
        <f>IF(IF(COUNTIF(AA4:AA55,AA55)&gt;=MAX(D4:D8),AA55+1,AA55)&gt;50,"",IF(COUNTIF(AA4:AA55,AA55)&gt;=MAX(D4:D8),AA55+1,AA55))</f>
        <v>#VALUE!</v>
      </c>
      <c r="AB56" s="1" t="e">
        <f>IF(AA56="","",VLOOKUP(AA56,S4:U53,3,0))</f>
        <v>#VALUE!</v>
      </c>
      <c r="AC56" s="8" t="str">
        <f t="shared" si="1"/>
        <v/>
      </c>
      <c r="AE56" s="71" t="e">
        <f t="shared" si="2"/>
        <v>#VALUE!</v>
      </c>
      <c r="AF56" s="71" t="str">
        <f>IF(OR(COUNTBLANK(AI56)=1,ISERROR(AI56)),"",COUNT(AI4:AI56))</f>
        <v/>
      </c>
      <c r="AG56" s="7" t="e">
        <f t="shared" si="3"/>
        <v>#VALUE!</v>
      </c>
      <c r="AH56" s="1" t="str">
        <f>IF(ISERROR(INDEX(C4:C8,MATCH(G56,D4:D8,0))),"",INDEX(C4:C8,MATCH(G56,D4:D8,0)))</f>
        <v/>
      </c>
      <c r="AI56" s="79" t="e">
        <f>IF(IF(COUNTIF(AI4:AI55,AI54)&gt;=MAX(D4:D8),AI54+2,AI54)&gt;50,"",IF(COUNTIF(AI4:AI55,AI54)&gt;=MAX(D4:D8),AI54+2,AI54))</f>
        <v>#VALUE!</v>
      </c>
      <c r="AJ56" s="1" t="e">
        <f>IF(AI56="","",VLOOKUP(AI56,S4:U53,3,0))</f>
        <v>#VALUE!</v>
      </c>
      <c r="AK56" s="8" t="str">
        <f t="shared" si="4"/>
        <v/>
      </c>
      <c r="AM56" s="71" t="e">
        <f t="shared" si="5"/>
        <v>#VALUE!</v>
      </c>
      <c r="AN56" s="71" t="str">
        <f>IF(OR(COUNTBLANK(AQ56)=1,ISERROR(AQ56)),"",COUNT(AQ4:AQ56))</f>
        <v/>
      </c>
      <c r="AO56" s="7" t="e">
        <f t="shared" si="6"/>
        <v>#VALUE!</v>
      </c>
      <c r="AP56" s="1" t="str">
        <f>IF(ISERROR(INDEX(C4:C8,MATCH(H56,D4:D8,0))),"",INDEX(C4:C8,MATCH(H56,D4:D8,0)))</f>
        <v/>
      </c>
      <c r="AQ56" s="79" t="e">
        <f>IF(IF(COUNTIF(AQ4:AQ55,AQ53)&gt;=MAX(D4:D8),AQ53+3,AQ53)&gt;50,"",IF(COUNTIF(AQ4:AQ55,AQ53)&gt;=MAX(D4:D8),AQ53+3,AQ53))</f>
        <v>#VALUE!</v>
      </c>
      <c r="AR56" s="1" t="e">
        <f>IF(AQ56="","",VLOOKUP(AQ56,S4:U53,3,0))</f>
        <v>#VALUE!</v>
      </c>
      <c r="AS56" s="8" t="str">
        <f t="shared" si="7"/>
        <v/>
      </c>
      <c r="AU56" s="71" t="e">
        <f t="shared" si="8"/>
        <v>#VALUE!</v>
      </c>
      <c r="AV56" s="71" t="str">
        <f>IF(OR(COUNTBLANK(AY56)=1,ISERROR(AY56)),"",COUNT(AY4:AY56))</f>
        <v/>
      </c>
      <c r="AW56" s="7" t="e">
        <f t="shared" si="9"/>
        <v>#VALUE!</v>
      </c>
      <c r="AX56" s="1" t="str">
        <f>IF(ISERROR(INDEX(C4:C8,MATCH(I56,D4:D8,0))),"",INDEX(C4:C8,MATCH(I56,D4:D8,0)))</f>
        <v/>
      </c>
      <c r="AY56" s="79" t="e">
        <f>IF(IF(COUNTIF(AY4:AY55,AY52)&gt;=MAX(D4:D8),AY52+4,AY52)&gt;50,"",IF(COUNTIF(AY4:AY55,AY52)&gt;=MAX(D4:D8),AY52+4,AY52))</f>
        <v>#VALUE!</v>
      </c>
      <c r="AZ56" s="76" t="e">
        <f>IF(AY56="","",VLOOKUP(AY56,S4:U53,3,0))</f>
        <v>#VALUE!</v>
      </c>
      <c r="BA56" s="8" t="str">
        <f t="shared" si="10"/>
        <v/>
      </c>
      <c r="BC56" s="71" t="e">
        <f t="shared" si="11"/>
        <v>#VALUE!</v>
      </c>
      <c r="BD56" s="71" t="str">
        <f>IF(OR(COUNTBLANK(BG56)=1,ISERROR(BG56)),"",COUNT(BG4:BG56))</f>
        <v/>
      </c>
      <c r="BE56" s="7" t="e">
        <f t="shared" si="12"/>
        <v>#VALUE!</v>
      </c>
      <c r="BF56" s="1" t="str">
        <f>IF(ISERROR(INDEX(C4:C8,MATCH(J56,D4:D8,0))),"",INDEX(C4:C8,MATCH(J56,D4:D8,0)))</f>
        <v/>
      </c>
      <c r="BG56" s="79" t="e">
        <f>IF(IF(COUNTIF(BG4:BG55,BG51)&gt;=MAX(D4:D8),BG51+5,BG51)&gt;50,"",IF(COUNTIF(BG4:BG55,BG51)&gt;=MAX(D4:D8),BG51+5,BG51))</f>
        <v>#VALUE!</v>
      </c>
      <c r="BH56" s="76" t="e">
        <f>IF(BG56="","",VLOOKUP(BG56,S4:U53,3,0))</f>
        <v>#VALUE!</v>
      </c>
      <c r="BI56" s="8" t="str">
        <f t="shared" si="13"/>
        <v/>
      </c>
      <c r="BL56" s="115">
        <v>53</v>
      </c>
      <c r="BM56" s="112">
        <v>28</v>
      </c>
      <c r="BN56" s="112" t="s">
        <v>42</v>
      </c>
      <c r="BP56" s="71" t="e">
        <f>IF(BT56="","",BT56*10+3)</f>
        <v>#VALUE!</v>
      </c>
      <c r="BQ56" s="71" t="str">
        <f>IF(OR(COUNTBLANK(BT56)=1,ISERROR(BT56)),"",COUNT(BT4:BT56))</f>
        <v/>
      </c>
      <c r="BR56" s="7" t="e">
        <f t="shared" si="18"/>
        <v>#VALUE!</v>
      </c>
      <c r="BS56" s="1" t="str">
        <f t="shared" si="19"/>
        <v/>
      </c>
      <c r="BT56" s="79" t="e">
        <f>IF(IF(COUNTIF($BT$4:BT55,BT55)&gt;=MAX($D$4:$D$8),BT55+1,BT55)&gt;55,"",IF(COUNTIF($BT$4:BT55,BT55)&gt;=MAX($D$4:$D$8),BT55+1,BT55))</f>
        <v>#VALUE!</v>
      </c>
      <c r="BU56" s="1" t="e">
        <f t="shared" si="20"/>
        <v>#VALUE!</v>
      </c>
      <c r="BV56" s="8" t="str">
        <f t="shared" si="21"/>
        <v/>
      </c>
      <c r="BX56" s="71" t="e">
        <f t="shared" si="22"/>
        <v>#VALUE!</v>
      </c>
      <c r="BY56" s="71" t="str">
        <f>IF(OR(COUNTBLANK(CB56)=1,ISERROR(CB56)),"",COUNT($CB$4:CB56))</f>
        <v/>
      </c>
      <c r="BZ56" s="7" t="e">
        <f t="shared" si="23"/>
        <v>#VALUE!</v>
      </c>
      <c r="CA56" s="1" t="str">
        <f t="shared" si="24"/>
        <v/>
      </c>
      <c r="CB56" s="79" t="e">
        <f>IF(IF(COUNTIF($CB$4:CB55,CB54)&gt;=MAX($D$4:$D$8),CB54+2,CB54)&gt;55,"",IF(COUNTIF($CB$4:CB55,CB54)&gt;=MAX($D$4:$D$8),CB54+2,CB54))</f>
        <v>#VALUE!</v>
      </c>
      <c r="CC56" s="1" t="e">
        <f t="shared" si="25"/>
        <v>#VALUE!</v>
      </c>
      <c r="CD56" s="8" t="str">
        <f t="shared" si="26"/>
        <v/>
      </c>
      <c r="CF56" s="71" t="e">
        <f t="shared" si="61"/>
        <v>#VALUE!</v>
      </c>
      <c r="CG56" s="71" t="str">
        <f>IF(OR(COUNTBLANK(CJ56)=1,ISERROR(CJ56)),"",COUNT($CJ$4:CJ56))</f>
        <v/>
      </c>
      <c r="CH56" s="7" t="e">
        <f t="shared" si="62"/>
        <v>#VALUE!</v>
      </c>
      <c r="CI56" s="1" t="str">
        <f t="shared" si="63"/>
        <v/>
      </c>
      <c r="CJ56" s="79" t="e">
        <f>IF(IF(COUNTIF($CJ$4:CJ55,CJ53)&gt;=MAX($D$4:$D$8),CJ53+3,CJ53)&gt;55,"",IF(COUNTIF($CJ$4:CJ55,CJ53)&gt;=MAX($D$4:$D$8),CJ53+3,CJ53))</f>
        <v>#VALUE!</v>
      </c>
      <c r="CK56" s="1" t="e">
        <f t="shared" si="30"/>
        <v>#VALUE!</v>
      </c>
      <c r="CL56" s="8" t="str">
        <f t="shared" si="64"/>
        <v/>
      </c>
      <c r="CN56" s="71" t="e">
        <f t="shared" si="51"/>
        <v>#VALUE!</v>
      </c>
      <c r="CO56" s="71" t="str">
        <f>IF(OR(COUNTBLANK(CR56)=1,ISERROR(CR56)),"",COUNT($CR$4:CR56))</f>
        <v/>
      </c>
      <c r="CP56" s="7" t="e">
        <f t="shared" si="52"/>
        <v>#VALUE!</v>
      </c>
      <c r="CQ56" s="1" t="str">
        <f t="shared" si="53"/>
        <v/>
      </c>
      <c r="CR56" s="79" t="e">
        <f>IF(IF(COUNTIF($CR$4:CR55,CR52)&gt;=MAX($D$4:$D$8),CR52+4,CR52)&gt;55,"",IF(COUNTIF($CR$4:CR55,CR52)&gt;=MAX($D$4:$D$8),CR52+4,CR52))</f>
        <v>#VALUE!</v>
      </c>
      <c r="CS56" s="1" t="e">
        <f t="shared" si="35"/>
        <v>#VALUE!</v>
      </c>
      <c r="CT56" s="8" t="str">
        <f t="shared" si="54"/>
        <v/>
      </c>
      <c r="CV56" s="71" t="e">
        <f t="shared" si="65"/>
        <v>#VALUE!</v>
      </c>
      <c r="CW56" s="71" t="str">
        <f>IF(OR(COUNTBLANK(CZ56)=1,ISERROR(CZ56)),"",COUNT($CZ$4:CZ56))</f>
        <v/>
      </c>
      <c r="CX56" s="7" t="e">
        <f t="shared" si="66"/>
        <v>#VALUE!</v>
      </c>
      <c r="CY56" s="1" t="str">
        <f t="shared" si="67"/>
        <v/>
      </c>
      <c r="CZ56" s="79" t="e">
        <f>IF(IF(COUNTIF($CZ$4:CZ55,CZ51)&gt;=MAX($D$4:$D$8),CZ51+5,CZ51)&gt;55,"",IF(COUNTIF($CZ$4:CZ55,CZ51)&gt;=MAX($D$4:$D$8),CZ51+5,CZ51))</f>
        <v>#VALUE!</v>
      </c>
      <c r="DA56" s="1" t="e">
        <f t="shared" si="40"/>
        <v>#VALUE!</v>
      </c>
      <c r="DB56" s="8" t="str">
        <f t="shared" si="68"/>
        <v/>
      </c>
    </row>
    <row r="57" spans="5:106" x14ac:dyDescent="0.15">
      <c r="E57" s="1">
        <v>54</v>
      </c>
      <c r="F57" s="1">
        <f t="shared" si="42"/>
        <v>1</v>
      </c>
      <c r="G57" s="1">
        <f t="shared" si="60"/>
        <v>1</v>
      </c>
      <c r="H57" s="1">
        <f t="shared" si="45"/>
        <v>1</v>
      </c>
      <c r="I57" s="1">
        <f t="shared" si="50"/>
        <v>1</v>
      </c>
      <c r="J57" s="1">
        <f t="shared" si="55"/>
        <v>1</v>
      </c>
      <c r="L57" s="1" t="str">
        <f>IF(ISERROR(HLOOKUP($C$10,$F$3:$J$253,55,0)),"",HLOOKUP($C$10,$F$3:$J$253,55,0))</f>
        <v/>
      </c>
      <c r="W57" s="71" t="e">
        <f>IF(AA57="","",AA57*10+4)</f>
        <v>#VALUE!</v>
      </c>
      <c r="X57" s="71" t="str">
        <f>IF(OR(COUNTBLANK(AA57)=1,ISERROR(AA57)),"",COUNT(AA4:AA57))</f>
        <v/>
      </c>
      <c r="Y57" s="7" t="e">
        <f t="shared" si="0"/>
        <v>#VALUE!</v>
      </c>
      <c r="Z57" s="1" t="str">
        <f t="shared" si="17"/>
        <v/>
      </c>
      <c r="AA57" s="79" t="e">
        <f>IF(IF(COUNTIF(AA4:AA56,AA56)&gt;=MAX(D4:D8),AA56+1,AA56)&gt;50,"",IF(COUNTIF(AA4:AA56,AA56)&gt;=MAX(D4:D8),AA56+1,AA56))</f>
        <v>#VALUE!</v>
      </c>
      <c r="AB57" s="1" t="e">
        <f>IF(AA57="","",VLOOKUP(AA57,S4:U53,3,0))</f>
        <v>#VALUE!</v>
      </c>
      <c r="AC57" s="8" t="str">
        <f t="shared" si="1"/>
        <v/>
      </c>
      <c r="AE57" s="71" t="e">
        <f t="shared" si="2"/>
        <v>#VALUE!</v>
      </c>
      <c r="AF57" s="71" t="str">
        <f>IF(OR(COUNTBLANK(AI57)=1,ISERROR(AI57)),"",COUNT(AI4:AI57))</f>
        <v/>
      </c>
      <c r="AG57" s="7" t="e">
        <f t="shared" si="3"/>
        <v>#VALUE!</v>
      </c>
      <c r="AH57" s="1" t="str">
        <f>IF(ISERROR(INDEX(C4:C8,MATCH(G57,D4:D8,0))),"",INDEX(C4:C8,MATCH(G57,D4:D8,0)))</f>
        <v/>
      </c>
      <c r="AI57" s="79" t="e">
        <f>IF(IF(COUNTIF(AI4:AI55,AI55)&gt;=MAX(D4:D8),AI55+2,AI55)&gt;50,"",IF(COUNTIF(AI4:AI55,AI55)&gt;=MAX(D4:D8),AI55+2,AI55))</f>
        <v>#VALUE!</v>
      </c>
      <c r="AJ57" s="1" t="e">
        <f>IF(AI57="","",VLOOKUP(AI57,S4:U53,3,0))</f>
        <v>#VALUE!</v>
      </c>
      <c r="AK57" s="8" t="str">
        <f t="shared" si="4"/>
        <v/>
      </c>
      <c r="AM57" s="71" t="e">
        <f t="shared" si="5"/>
        <v>#VALUE!</v>
      </c>
      <c r="AN57" s="71" t="str">
        <f>IF(OR(COUNTBLANK(AQ57)=1,ISERROR(AQ57)),"",COUNT(AQ4:AQ57))</f>
        <v/>
      </c>
      <c r="AO57" s="7" t="e">
        <f t="shared" si="6"/>
        <v>#VALUE!</v>
      </c>
      <c r="AP57" s="1" t="str">
        <f>IF(ISERROR(INDEX(C4:C8,MATCH(H57,D4:D8,0))),"",INDEX(C4:C8,MATCH(H57,D4:D8,0)))</f>
        <v/>
      </c>
      <c r="AQ57" s="79" t="e">
        <f>IF(IF(COUNTIF(AQ4:AQ56,AQ54)&gt;=MAX(D4:D8),AQ54+3,AQ54)&gt;50,"",IF(COUNTIF(AQ4:AQ56,AQ54)&gt;=MAX(D4:D8),AQ54+3,AQ54))</f>
        <v>#VALUE!</v>
      </c>
      <c r="AR57" s="1" t="e">
        <f>IF(AQ57="","",VLOOKUP(AQ57,S4:U53,3,0))</f>
        <v>#VALUE!</v>
      </c>
      <c r="AS57" s="8" t="str">
        <f t="shared" si="7"/>
        <v/>
      </c>
      <c r="AU57" s="71" t="e">
        <f t="shared" si="8"/>
        <v>#VALUE!</v>
      </c>
      <c r="AV57" s="71" t="str">
        <f>IF(OR(COUNTBLANK(AY57)=1,ISERROR(AY57)),"",COUNT(AY4:AY57))</f>
        <v/>
      </c>
      <c r="AW57" s="7" t="e">
        <f t="shared" si="9"/>
        <v>#VALUE!</v>
      </c>
      <c r="AX57" s="1" t="str">
        <f>IF(ISERROR(INDEX(C4:C8,MATCH(I57,D4:D8,0))),"",INDEX(C4:C8,MATCH(I57,D4:D8,0)))</f>
        <v/>
      </c>
      <c r="AY57" s="79" t="e">
        <f>IF(IF(COUNTIF(AY4:AY56,AY53)&gt;=MAX(D4:D8),AY53+4,AY53)&gt;50,"",IF(COUNTIF(AY4:AY56,AY53)&gt;=MAX(D4:D8),AY53+4,AY53))</f>
        <v>#VALUE!</v>
      </c>
      <c r="AZ57" s="76" t="e">
        <f>IF(AY57="","",VLOOKUP(AY57,S4:U53,3,0))</f>
        <v>#VALUE!</v>
      </c>
      <c r="BA57" s="8" t="str">
        <f t="shared" si="10"/>
        <v/>
      </c>
      <c r="BC57" s="71" t="e">
        <f t="shared" si="11"/>
        <v>#VALUE!</v>
      </c>
      <c r="BD57" s="71" t="str">
        <f>IF(OR(COUNTBLANK(BG57)=1,ISERROR(BG57)),"",COUNT(BG4:BG57))</f>
        <v/>
      </c>
      <c r="BE57" s="7" t="e">
        <f t="shared" si="12"/>
        <v>#VALUE!</v>
      </c>
      <c r="BF57" s="1" t="str">
        <f>IF(ISERROR(INDEX(C4:C8,MATCH(J57,D4:D8,0))),"",INDEX(C4:C8,MATCH(J57,D4:D8,0)))</f>
        <v/>
      </c>
      <c r="BG57" s="79" t="e">
        <f>IF(IF(COUNTIF(BG4:BG56,BG52)&gt;=MAX(D4:D8),BG52+5,BG52)&gt;50,"",IF(COUNTIF(BG4:BG56,BG52)&gt;=MAX(D4:D8),BG52+5,BG52))</f>
        <v>#VALUE!</v>
      </c>
      <c r="BH57" s="76" t="e">
        <f>IF(BG57="","",VLOOKUP(BG57,S4:U53,3,0))</f>
        <v>#VALUE!</v>
      </c>
      <c r="BI57" s="8" t="str">
        <f t="shared" si="13"/>
        <v/>
      </c>
      <c r="BL57" s="115">
        <v>54</v>
      </c>
      <c r="BM57" s="112">
        <v>29</v>
      </c>
      <c r="BN57" s="112" t="s">
        <v>43</v>
      </c>
      <c r="BP57" s="71" t="e">
        <f>IF(BT57="","",BT57*10+4)</f>
        <v>#VALUE!</v>
      </c>
      <c r="BQ57" s="71" t="str">
        <f>IF(OR(COUNTBLANK(BT57)=1,ISERROR(BT57)),"",COUNT(BT4:BT57))</f>
        <v/>
      </c>
      <c r="BR57" s="7" t="e">
        <f t="shared" si="18"/>
        <v>#VALUE!</v>
      </c>
      <c r="BS57" s="1" t="str">
        <f t="shared" si="19"/>
        <v/>
      </c>
      <c r="BT57" s="79" t="e">
        <f>IF(IF(COUNTIF($BT$4:BT56,BT56)&gt;=MAX($D$4:$D$8),BT56+1,BT56)&gt;55,"",IF(COUNTIF($BT$4:BT56,BT56)&gt;=MAX($D$4:$D$8),BT56+1,BT56))</f>
        <v>#VALUE!</v>
      </c>
      <c r="BU57" s="1" t="e">
        <f t="shared" si="20"/>
        <v>#VALUE!</v>
      </c>
      <c r="BV57" s="8" t="str">
        <f t="shared" si="21"/>
        <v/>
      </c>
      <c r="BX57" s="71" t="e">
        <f t="shared" si="22"/>
        <v>#VALUE!</v>
      </c>
      <c r="BY57" s="71" t="str">
        <f>IF(OR(COUNTBLANK(CB57)=1,ISERROR(CB57)),"",COUNT($CB$4:CB57))</f>
        <v/>
      </c>
      <c r="BZ57" s="7" t="e">
        <f t="shared" si="23"/>
        <v>#VALUE!</v>
      </c>
      <c r="CA57" s="1" t="str">
        <f t="shared" si="24"/>
        <v/>
      </c>
      <c r="CB57" s="79" t="e">
        <f>IF(IF(COUNTIF($CB$4:CB56,CB55)&gt;=MAX($D$4:$D$8),CB55+2,CB55)&gt;55,"",IF(COUNTIF($CB$4:CB56,CB55)&gt;=MAX($D$4:$D$8),CB55+2,CB55))</f>
        <v>#VALUE!</v>
      </c>
      <c r="CC57" s="1" t="e">
        <f t="shared" si="25"/>
        <v>#VALUE!</v>
      </c>
      <c r="CD57" s="8" t="str">
        <f t="shared" si="26"/>
        <v/>
      </c>
      <c r="CF57" s="71" t="e">
        <f t="shared" si="61"/>
        <v>#VALUE!</v>
      </c>
      <c r="CG57" s="71" t="str">
        <f>IF(OR(COUNTBLANK(CJ57)=1,ISERROR(CJ57)),"",COUNT($CJ$4:CJ57))</f>
        <v/>
      </c>
      <c r="CH57" s="7" t="e">
        <f t="shared" si="62"/>
        <v>#VALUE!</v>
      </c>
      <c r="CI57" s="1" t="str">
        <f t="shared" si="63"/>
        <v/>
      </c>
      <c r="CJ57" s="79" t="e">
        <f>IF(IF(COUNTIF($CJ$4:CJ56,CJ54)&gt;=MAX($D$4:$D$8),CJ54+3,CJ54)&gt;55,"",IF(COUNTIF($CJ$4:CJ56,CJ54)&gt;=MAX($D$4:$D$8),CJ54+3,CJ54))</f>
        <v>#VALUE!</v>
      </c>
      <c r="CK57" s="1" t="e">
        <f t="shared" si="30"/>
        <v>#VALUE!</v>
      </c>
      <c r="CL57" s="8" t="str">
        <f t="shared" si="64"/>
        <v/>
      </c>
      <c r="CN57" s="71" t="e">
        <f t="shared" si="51"/>
        <v>#VALUE!</v>
      </c>
      <c r="CO57" s="71" t="str">
        <f>IF(OR(COUNTBLANK(CR57)=1,ISERROR(CR57)),"",COUNT($CR$4:CR57))</f>
        <v/>
      </c>
      <c r="CP57" s="7" t="e">
        <f t="shared" si="52"/>
        <v>#VALUE!</v>
      </c>
      <c r="CQ57" s="1" t="str">
        <f t="shared" si="53"/>
        <v/>
      </c>
      <c r="CR57" s="79" t="e">
        <f>IF(IF(COUNTIF($CR$4:CR56,CR53)&gt;=MAX($D$4:$D$8),CR53+4,CR53)&gt;55,"",IF(COUNTIF($CR$4:CR56,CR53)&gt;=MAX($D$4:$D$8),CR53+4,CR53))</f>
        <v>#VALUE!</v>
      </c>
      <c r="CS57" s="1" t="e">
        <f t="shared" si="35"/>
        <v>#VALUE!</v>
      </c>
      <c r="CT57" s="8" t="str">
        <f t="shared" si="54"/>
        <v/>
      </c>
      <c r="CV57" s="71" t="e">
        <f t="shared" si="65"/>
        <v>#VALUE!</v>
      </c>
      <c r="CW57" s="71" t="str">
        <f>IF(OR(COUNTBLANK(CZ57)=1,ISERROR(CZ57)),"",COUNT($CZ$4:CZ57))</f>
        <v/>
      </c>
      <c r="CX57" s="7" t="e">
        <f t="shared" si="66"/>
        <v>#VALUE!</v>
      </c>
      <c r="CY57" s="1" t="str">
        <f t="shared" si="67"/>
        <v/>
      </c>
      <c r="CZ57" s="79" t="e">
        <f>IF(IF(COUNTIF($CZ$4:CZ56,CZ52)&gt;=MAX($D$4:$D$8),CZ52+5,CZ52)&gt;55,"",IF(COUNTIF($CZ$4:CZ56,CZ52)&gt;=MAX($D$4:$D$8),CZ52+5,CZ52))</f>
        <v>#VALUE!</v>
      </c>
      <c r="DA57" s="1" t="e">
        <f t="shared" si="40"/>
        <v>#VALUE!</v>
      </c>
      <c r="DB57" s="8" t="str">
        <f t="shared" si="68"/>
        <v/>
      </c>
    </row>
    <row r="58" spans="5:106" x14ac:dyDescent="0.15">
      <c r="E58" s="1">
        <v>55</v>
      </c>
      <c r="F58" s="1">
        <f t="shared" si="42"/>
        <v>1</v>
      </c>
      <c r="G58" s="1">
        <f t="shared" si="60"/>
        <v>1</v>
      </c>
      <c r="H58" s="1">
        <f t="shared" si="45"/>
        <v>1</v>
      </c>
      <c r="I58" s="1">
        <f t="shared" si="50"/>
        <v>1</v>
      </c>
      <c r="J58" s="1">
        <f t="shared" si="55"/>
        <v>1</v>
      </c>
      <c r="L58" s="1" t="str">
        <f>IF(ISERROR(HLOOKUP($C$10,$F$3:$J$253,56,0)),"",HLOOKUP($C$10,$F$3:$J$253,56,0))</f>
        <v/>
      </c>
      <c r="W58" s="71" t="e">
        <f>IF(AA58="","",AA58*10+5)</f>
        <v>#VALUE!</v>
      </c>
      <c r="X58" s="71" t="str">
        <f>IF(OR(COUNTBLANK(AA58)=1,ISERROR(AA58)),"",COUNT(AA4:AA58))</f>
        <v/>
      </c>
      <c r="Y58" s="7" t="e">
        <f t="shared" si="0"/>
        <v>#VALUE!</v>
      </c>
      <c r="Z58" s="1" t="str">
        <f t="shared" si="17"/>
        <v/>
      </c>
      <c r="AA58" s="79" t="e">
        <f>IF(IF(COUNTIF(AA4:AA57,AA57)&gt;=MAX(D4:D8),AA57+1,AA57)&gt;50,"",IF(COUNTIF(AA4:AA57,AA57)&gt;=MAX(D4:D8),AA57+1,AA57))</f>
        <v>#VALUE!</v>
      </c>
      <c r="AB58" s="1" t="e">
        <f>IF(AA58="","",VLOOKUP(AA58,S4:U53,3,0))</f>
        <v>#VALUE!</v>
      </c>
      <c r="AC58" s="8" t="str">
        <f t="shared" si="1"/>
        <v/>
      </c>
      <c r="AE58" s="71" t="e">
        <f t="shared" si="2"/>
        <v>#VALUE!</v>
      </c>
      <c r="AF58" s="71" t="str">
        <f>IF(OR(COUNTBLANK(AI58)=1,ISERROR(AI58)),"",COUNT(AI4:AI58))</f>
        <v/>
      </c>
      <c r="AG58" s="7" t="e">
        <f t="shared" si="3"/>
        <v>#VALUE!</v>
      </c>
      <c r="AH58" s="1" t="str">
        <f>IF(ISERROR(INDEX(C4:C8,MATCH(G58,D4:D8,0))),"",INDEX(C4:C8,MATCH(G58,D4:D8,0)))</f>
        <v/>
      </c>
      <c r="AI58" s="79" t="e">
        <f>IF(IF(COUNTIF(AI4:AI57,AI56)&gt;=MAX(D4:D8),AI56+2,AI56)&gt;50,"",IF(COUNTIF(AI4:AI57,AI56)&gt;=MAX(D4:D8),AI56+2,AI56))</f>
        <v>#VALUE!</v>
      </c>
      <c r="AJ58" s="1" t="e">
        <f>IF(AI58="","",VLOOKUP(AI58,S4:U53,3,0))</f>
        <v>#VALUE!</v>
      </c>
      <c r="AK58" s="8" t="str">
        <f t="shared" si="4"/>
        <v/>
      </c>
      <c r="AM58" s="71" t="e">
        <f t="shared" si="5"/>
        <v>#VALUE!</v>
      </c>
      <c r="AN58" s="71" t="str">
        <f>IF(OR(COUNTBLANK(AQ58)=1,ISERROR(AQ58)),"",COUNT(AQ4:AQ58))</f>
        <v/>
      </c>
      <c r="AO58" s="7" t="e">
        <f t="shared" si="6"/>
        <v>#VALUE!</v>
      </c>
      <c r="AP58" s="1" t="str">
        <f>IF(ISERROR(INDEX(C4:C8,MATCH(H58,D4:D8,0))),"",INDEX(C4:C8,MATCH(H58,D4:D8,0)))</f>
        <v/>
      </c>
      <c r="AQ58" s="79" t="e">
        <f>IF(IF(COUNTIF(AQ4:AQ57,AQ55)&gt;=MAX(D4:D8),AQ55+3,AQ55)&gt;50,"",IF(COUNTIF(AQ4:AQ57,AQ55)&gt;=MAX(D4:D8),AQ55+3,AQ55))</f>
        <v>#VALUE!</v>
      </c>
      <c r="AR58" s="1" t="e">
        <f>IF(AQ58="","",VLOOKUP(AQ58,S4:U53,3,0))</f>
        <v>#VALUE!</v>
      </c>
      <c r="AS58" s="8" t="str">
        <f t="shared" si="7"/>
        <v/>
      </c>
      <c r="AU58" s="71" t="e">
        <f t="shared" si="8"/>
        <v>#VALUE!</v>
      </c>
      <c r="AV58" s="71" t="str">
        <f>IF(OR(COUNTBLANK(AY58)=1,ISERROR(AY58)),"",COUNT(AY4:AY58))</f>
        <v/>
      </c>
      <c r="AW58" s="7" t="e">
        <f t="shared" si="9"/>
        <v>#VALUE!</v>
      </c>
      <c r="AX58" s="1" t="str">
        <f>IF(ISERROR(INDEX(C4:C8,MATCH(I58,D4:D8,0))),"",INDEX(C4:C8,MATCH(I58,D4:D8,0)))</f>
        <v/>
      </c>
      <c r="AY58" s="79" t="e">
        <f>IF(IF(COUNTIF(AY4:AY57,AY54)&gt;=MAX(D4:D8),AY54+4,AY54)&gt;50,"",IF(COUNTIF(AY4:AY57,AY54)&gt;=MAX(D4:D8),AY54+4,AY54))</f>
        <v>#VALUE!</v>
      </c>
      <c r="AZ58" s="76" t="e">
        <f>IF(AY58="","",VLOOKUP(AY58,S4:U53,3,0))</f>
        <v>#VALUE!</v>
      </c>
      <c r="BA58" s="8" t="str">
        <f t="shared" si="10"/>
        <v/>
      </c>
      <c r="BC58" s="71" t="e">
        <f t="shared" si="11"/>
        <v>#VALUE!</v>
      </c>
      <c r="BD58" s="71" t="str">
        <f>IF(OR(COUNTBLANK(BG58)=1,ISERROR(BG58)),"",COUNT(BG4:BG58))</f>
        <v/>
      </c>
      <c r="BE58" s="7" t="e">
        <f t="shared" si="12"/>
        <v>#VALUE!</v>
      </c>
      <c r="BF58" s="1" t="str">
        <f>IF(ISERROR(INDEX(C4:C8,MATCH(J58,D4:D8,0))),"",INDEX(C4:C8,MATCH(J58,D4:D8,0)))</f>
        <v/>
      </c>
      <c r="BG58" s="79" t="e">
        <f>IF(IF(COUNTIF(BG4:BG57,BG53)&gt;=MAX(D4:D8),BG53+5,BG53)&gt;50,"",IF(COUNTIF(BG4:BG57,BG53)&gt;=MAX(D4:D8),BG53+5,BG53))</f>
        <v>#VALUE!</v>
      </c>
      <c r="BH58" s="76" t="e">
        <f>IF(BG58="","",VLOOKUP(BG58,S4:U53,3,0))</f>
        <v>#VALUE!</v>
      </c>
      <c r="BI58" s="8" t="str">
        <f t="shared" si="13"/>
        <v/>
      </c>
      <c r="BL58" s="115">
        <v>55</v>
      </c>
      <c r="BM58" s="112">
        <v>30</v>
      </c>
      <c r="BN58" s="112" t="s">
        <v>44</v>
      </c>
      <c r="BP58" s="71" t="e">
        <f>IF(BT58="","",BT58*10+5)</f>
        <v>#VALUE!</v>
      </c>
      <c r="BQ58" s="71" t="str">
        <f>IF(OR(COUNTBLANK(BT58)=1,ISERROR(BT58)),"",COUNT(BT4:BT58))</f>
        <v/>
      </c>
      <c r="BR58" s="7" t="e">
        <f t="shared" si="18"/>
        <v>#VALUE!</v>
      </c>
      <c r="BS58" s="1" t="str">
        <f t="shared" si="19"/>
        <v/>
      </c>
      <c r="BT58" s="79" t="e">
        <f>IF(IF(COUNTIF($BT$4:BT57,BT57)&gt;=MAX($D$4:$D$8),BT57+1,BT57)&gt;55,"",IF(COUNTIF($BT$4:BT57,BT57)&gt;=MAX($D$4:$D$8),BT57+1,BT57))</f>
        <v>#VALUE!</v>
      </c>
      <c r="BU58" s="1" t="e">
        <f t="shared" si="20"/>
        <v>#VALUE!</v>
      </c>
      <c r="BV58" s="8" t="str">
        <f t="shared" si="21"/>
        <v/>
      </c>
      <c r="BX58" s="71" t="e">
        <f t="shared" si="22"/>
        <v>#VALUE!</v>
      </c>
      <c r="BY58" s="71" t="str">
        <f>IF(OR(COUNTBLANK(CB58)=1,ISERROR(CB58)),"",COUNT($CB$4:CB58))</f>
        <v/>
      </c>
      <c r="BZ58" s="7" t="e">
        <f t="shared" si="23"/>
        <v>#VALUE!</v>
      </c>
      <c r="CA58" s="1" t="str">
        <f t="shared" si="24"/>
        <v/>
      </c>
      <c r="CB58" s="79" t="e">
        <f>IF(IF(COUNTIF($CB$4:CB57,CB56)&gt;=MAX($D$4:$D$8),CB56+2,CB56)&gt;55,"",IF(COUNTIF($CB$4:CB57,CB56)&gt;=MAX($D$4:$D$8),CB56+2,CB56))</f>
        <v>#VALUE!</v>
      </c>
      <c r="CC58" s="1" t="e">
        <f t="shared" si="25"/>
        <v>#VALUE!</v>
      </c>
      <c r="CD58" s="8" t="str">
        <f t="shared" si="26"/>
        <v/>
      </c>
      <c r="CF58" s="71" t="e">
        <f t="shared" si="61"/>
        <v>#VALUE!</v>
      </c>
      <c r="CG58" s="71" t="str">
        <f>IF(OR(COUNTBLANK(CJ58)=1,ISERROR(CJ58)),"",COUNT($CJ$4:CJ58))</f>
        <v/>
      </c>
      <c r="CH58" s="7" t="e">
        <f t="shared" si="62"/>
        <v>#VALUE!</v>
      </c>
      <c r="CI58" s="1" t="str">
        <f t="shared" si="63"/>
        <v/>
      </c>
      <c r="CJ58" s="79" t="e">
        <f>IF(IF(COUNTIF($CJ$4:CJ57,CJ55)&gt;=MAX($D$4:$D$8),CJ55+3,CJ55)&gt;55,"",IF(COUNTIF($CJ$4:CJ57,CJ55)&gt;=MAX($D$4:$D$8),CJ55+3,CJ55))</f>
        <v>#VALUE!</v>
      </c>
      <c r="CK58" s="1" t="e">
        <f t="shared" si="30"/>
        <v>#VALUE!</v>
      </c>
      <c r="CL58" s="8" t="str">
        <f t="shared" si="64"/>
        <v/>
      </c>
      <c r="CN58" s="71" t="e">
        <f t="shared" si="51"/>
        <v>#VALUE!</v>
      </c>
      <c r="CO58" s="71" t="str">
        <f>IF(OR(COUNTBLANK(CR58)=1,ISERROR(CR58)),"",COUNT($CR$4:CR58))</f>
        <v/>
      </c>
      <c r="CP58" s="7" t="e">
        <f t="shared" si="52"/>
        <v>#VALUE!</v>
      </c>
      <c r="CQ58" s="1" t="str">
        <f t="shared" si="53"/>
        <v/>
      </c>
      <c r="CR58" s="79" t="e">
        <f>IF(IF(COUNTIF($CR$4:CR57,CR54)&gt;=MAX($D$4:$D$8),CR54+4,CR54)&gt;55,"",IF(COUNTIF($CR$4:CR57,CR54)&gt;=MAX($D$4:$D$8),CR54+4,CR54))</f>
        <v>#VALUE!</v>
      </c>
      <c r="CS58" s="1" t="e">
        <f t="shared" si="35"/>
        <v>#VALUE!</v>
      </c>
      <c r="CT58" s="8" t="str">
        <f t="shared" si="54"/>
        <v/>
      </c>
      <c r="CV58" s="71" t="e">
        <f t="shared" si="65"/>
        <v>#VALUE!</v>
      </c>
      <c r="CW58" s="71" t="str">
        <f>IF(OR(COUNTBLANK(CZ58)=1,ISERROR(CZ58)),"",COUNT($CZ$4:CZ58))</f>
        <v/>
      </c>
      <c r="CX58" s="7" t="e">
        <f t="shared" si="66"/>
        <v>#VALUE!</v>
      </c>
      <c r="CY58" s="1" t="str">
        <f t="shared" si="67"/>
        <v/>
      </c>
      <c r="CZ58" s="79" t="e">
        <f>IF(IF(COUNTIF($CZ$4:CZ57,CZ53)&gt;=MAX($D$4:$D$8),CZ53+5,CZ53)&gt;55,"",IF(COUNTIF($CZ$4:CZ57,CZ53)&gt;=MAX($D$4:$D$8),CZ53+5,CZ53))</f>
        <v>#VALUE!</v>
      </c>
      <c r="DA58" s="1" t="e">
        <f t="shared" si="40"/>
        <v>#VALUE!</v>
      </c>
      <c r="DB58" s="8" t="str">
        <f t="shared" si="68"/>
        <v/>
      </c>
    </row>
    <row r="59" spans="5:106" x14ac:dyDescent="0.15">
      <c r="E59" s="1">
        <v>56</v>
      </c>
      <c r="F59" s="1">
        <f t="shared" si="42"/>
        <v>1</v>
      </c>
      <c r="G59" s="1">
        <f t="shared" si="60"/>
        <v>1</v>
      </c>
      <c r="H59" s="1">
        <f t="shared" si="45"/>
        <v>1</v>
      </c>
      <c r="I59" s="1">
        <f t="shared" si="50"/>
        <v>1</v>
      </c>
      <c r="J59" s="1">
        <f t="shared" si="55"/>
        <v>1</v>
      </c>
      <c r="L59" s="1" t="str">
        <f>IF(ISERROR(HLOOKUP($C$10,$F$3:$J$253,57,0)),"",HLOOKUP($C$10,$F$3:$J$253,57,0))</f>
        <v/>
      </c>
      <c r="W59" s="71" t="e">
        <f>IF(AA59="","",AA59*10+1)</f>
        <v>#VALUE!</v>
      </c>
      <c r="X59" s="71" t="str">
        <f>IF(OR(COUNTBLANK(AA59)=1,ISERROR(AA59)),"",COUNT(AA4:AA59))</f>
        <v/>
      </c>
      <c r="Y59" s="7" t="e">
        <f t="shared" si="0"/>
        <v>#VALUE!</v>
      </c>
      <c r="Z59" s="1" t="str">
        <f t="shared" si="17"/>
        <v/>
      </c>
      <c r="AA59" s="79" t="e">
        <f>IF(IF(COUNTIF(AA4:AA58,AA58)&gt;=MAX(D4:D8),AA58+1,AA58)&gt;50,"",IF(COUNTIF(AA4:AA58,AA58)&gt;=MAX(D4:D8),AA58+1,AA58))</f>
        <v>#VALUE!</v>
      </c>
      <c r="AB59" s="1" t="e">
        <f>IF(AA59="","",VLOOKUP(AA59,S4:U53,3,0))</f>
        <v>#VALUE!</v>
      </c>
      <c r="AC59" s="8" t="str">
        <f t="shared" si="1"/>
        <v/>
      </c>
      <c r="AE59" s="71" t="e">
        <f t="shared" si="2"/>
        <v>#VALUE!</v>
      </c>
      <c r="AF59" s="71" t="str">
        <f>IF(OR(COUNTBLANK(AI59)=1,ISERROR(AI59)),"",COUNT(AI4:AI59))</f>
        <v/>
      </c>
      <c r="AG59" s="7" t="e">
        <f t="shared" si="3"/>
        <v>#VALUE!</v>
      </c>
      <c r="AH59" s="1" t="str">
        <f>IF(ISERROR(INDEX(C4:C8,MATCH(G59,D4:D8,0))),"",INDEX(C4:C8,MATCH(G59,D4:D8,0)))</f>
        <v/>
      </c>
      <c r="AI59" s="79" t="e">
        <f>IF(IF(COUNTIF(AI4:AI57,AI57)&gt;=MAX(D4:D8),AI57+2,AI57)&gt;50,"",IF(COUNTIF(AI4:AI57,AI57)&gt;=MAX(D4:D8),AI57+2,AI57))</f>
        <v>#VALUE!</v>
      </c>
      <c r="AJ59" s="1" t="e">
        <f>IF(AI59="","",VLOOKUP(AI59,S4:U53,3,0))</f>
        <v>#VALUE!</v>
      </c>
      <c r="AK59" s="8" t="str">
        <f t="shared" si="4"/>
        <v/>
      </c>
      <c r="AM59" s="71" t="e">
        <f t="shared" si="5"/>
        <v>#VALUE!</v>
      </c>
      <c r="AN59" s="71" t="str">
        <f>IF(OR(COUNTBLANK(AQ59)=1,ISERROR(AQ59)),"",COUNT(AQ4:AQ59))</f>
        <v/>
      </c>
      <c r="AO59" s="7" t="e">
        <f t="shared" si="6"/>
        <v>#VALUE!</v>
      </c>
      <c r="AP59" s="1" t="str">
        <f>IF(ISERROR(INDEX(C4:C8,MATCH(H59,D4:D8,0))),"",INDEX(C4:C8,MATCH(H59,D4:D8,0)))</f>
        <v/>
      </c>
      <c r="AQ59" s="79" t="e">
        <f>IF(IF(COUNTIF(AQ4:AQ58,AQ56)&gt;=MAX(D4:D8),AQ56+3,AQ56)&gt;50,"",IF(COUNTIF(AQ4:AQ58,AQ56)&gt;=MAX(D4:D8),AQ56+3,AQ56))</f>
        <v>#VALUE!</v>
      </c>
      <c r="AR59" s="1" t="e">
        <f>IF(AQ59="","",VLOOKUP(AQ59,S4:U53,3,0))</f>
        <v>#VALUE!</v>
      </c>
      <c r="AS59" s="8" t="str">
        <f t="shared" si="7"/>
        <v/>
      </c>
      <c r="AU59" s="71" t="e">
        <f t="shared" si="8"/>
        <v>#VALUE!</v>
      </c>
      <c r="AV59" s="71" t="str">
        <f>IF(OR(COUNTBLANK(AY59)=1,ISERROR(AY59)),"",COUNT(AY4:AY59))</f>
        <v/>
      </c>
      <c r="AW59" s="7" t="e">
        <f t="shared" si="9"/>
        <v>#VALUE!</v>
      </c>
      <c r="AX59" s="1" t="str">
        <f>IF(ISERROR(INDEX(C4:C8,MATCH(I59,D4:D8,0))),"",INDEX(C4:C8,MATCH(I59,D4:D8,0)))</f>
        <v/>
      </c>
      <c r="AY59" s="79" t="e">
        <f>IF(IF(COUNTIF(AY4:AY58,AY55)&gt;=MAX(D4:D8),AY55+4,AY55)&gt;50,"",IF(COUNTIF(AY4:AY58,AY55)&gt;=MAX(D4:D8),AY55+4,AY55))</f>
        <v>#VALUE!</v>
      </c>
      <c r="AZ59" s="76" t="e">
        <f>IF(AY59="","",VLOOKUP(AY59,S4:U53,3,0))</f>
        <v>#VALUE!</v>
      </c>
      <c r="BA59" s="8" t="str">
        <f t="shared" si="10"/>
        <v/>
      </c>
      <c r="BC59" s="71" t="e">
        <f t="shared" si="11"/>
        <v>#VALUE!</v>
      </c>
      <c r="BD59" s="71" t="str">
        <f>IF(OR(COUNTBLANK(BG59)=1,ISERROR(BG59)),"",COUNT(BG4:BG59))</f>
        <v/>
      </c>
      <c r="BE59" s="7" t="e">
        <f t="shared" si="12"/>
        <v>#VALUE!</v>
      </c>
      <c r="BF59" s="1" t="str">
        <f>IF(ISERROR(INDEX(C4:C8,MATCH(J59,D4:D8,0))),"",INDEX(C4:C8,MATCH(J59,D4:D8,0)))</f>
        <v/>
      </c>
      <c r="BG59" s="79" t="e">
        <f>IF(IF(COUNTIF(BG4:BG58,BG54)&gt;=MAX(D4:D8),BG54+5,BG54)&gt;50,"",IF(COUNTIF(BG4:BG58,BG54)&gt;=MAX(D4:D8),BG54+5,BG54))</f>
        <v>#VALUE!</v>
      </c>
      <c r="BH59" s="76" t="e">
        <f>IF(BG59="","",VLOOKUP(BG59,S4:U53,3,0))</f>
        <v>#VALUE!</v>
      </c>
      <c r="BI59" s="8" t="str">
        <f t="shared" si="13"/>
        <v/>
      </c>
      <c r="BP59" s="71" t="e">
        <f>IF(BT59="","",BT59*10+1)</f>
        <v>#VALUE!</v>
      </c>
      <c r="BQ59" s="71" t="str">
        <f>IF(OR(COUNTBLANK(BT59)=1,ISERROR(BT59)),"",COUNT(BT4:BT59))</f>
        <v/>
      </c>
      <c r="BR59" s="7" t="e">
        <f t="shared" si="18"/>
        <v>#VALUE!</v>
      </c>
      <c r="BS59" s="1" t="str">
        <f t="shared" si="19"/>
        <v/>
      </c>
      <c r="BT59" s="79" t="e">
        <f>IF(IF(COUNTIF($BT$4:BT58,BT58)&gt;=MAX($D$4:$D$8),BT58+1,BT58)&gt;55,"",IF(COUNTIF($BT$4:BT58,BT58)&gt;=MAX($D$4:$D$8),BT58+1,BT58))</f>
        <v>#VALUE!</v>
      </c>
      <c r="BU59" s="1" t="e">
        <f t="shared" si="20"/>
        <v>#VALUE!</v>
      </c>
      <c r="BV59" s="8" t="str">
        <f t="shared" si="21"/>
        <v/>
      </c>
      <c r="BX59" s="71" t="e">
        <f t="shared" si="22"/>
        <v>#VALUE!</v>
      </c>
      <c r="BY59" s="71" t="str">
        <f>IF(OR(COUNTBLANK(CB59)=1,ISERROR(CB59)),"",COUNT($CB$4:CB59))</f>
        <v/>
      </c>
      <c r="BZ59" s="7" t="e">
        <f t="shared" si="23"/>
        <v>#VALUE!</v>
      </c>
      <c r="CA59" s="1" t="str">
        <f t="shared" si="24"/>
        <v/>
      </c>
      <c r="CB59" s="79" t="e">
        <f>IF(IF(COUNTIF($CB$4:CB58,CB57)&gt;=MAX($D$4:$D$8),CB57+2,CB57)&gt;55,"",IF(COUNTIF($CB$4:CB58,CB57)&gt;=MAX($D$4:$D$8),CB57+2,CB57))</f>
        <v>#VALUE!</v>
      </c>
      <c r="CC59" s="1" t="e">
        <f t="shared" si="25"/>
        <v>#VALUE!</v>
      </c>
      <c r="CD59" s="8" t="str">
        <f t="shared" si="26"/>
        <v/>
      </c>
      <c r="CF59" s="71" t="e">
        <f t="shared" si="61"/>
        <v>#VALUE!</v>
      </c>
      <c r="CG59" s="71" t="str">
        <f>IF(OR(COUNTBLANK(CJ59)=1,ISERROR(CJ59)),"",COUNT($CJ$4:CJ59))</f>
        <v/>
      </c>
      <c r="CH59" s="7" t="e">
        <f t="shared" si="62"/>
        <v>#VALUE!</v>
      </c>
      <c r="CI59" s="1" t="str">
        <f t="shared" si="63"/>
        <v/>
      </c>
      <c r="CJ59" s="79" t="e">
        <f>IF(IF(COUNTIF($CJ$4:CJ58,CJ56)&gt;=MAX($D$4:$D$8),CJ56+3,CJ56)&gt;55,"",IF(COUNTIF($CJ$4:CJ58,CJ56)&gt;=MAX($D$4:$D$8),CJ56+3,CJ56))</f>
        <v>#VALUE!</v>
      </c>
      <c r="CK59" s="1" t="e">
        <f t="shared" si="30"/>
        <v>#VALUE!</v>
      </c>
      <c r="CL59" s="8" t="str">
        <f t="shared" si="64"/>
        <v/>
      </c>
      <c r="CN59" s="71" t="e">
        <f t="shared" si="51"/>
        <v>#VALUE!</v>
      </c>
      <c r="CO59" s="71" t="str">
        <f>IF(OR(COUNTBLANK(CR59)=1,ISERROR(CR59)),"",COUNT($CR$4:CR59))</f>
        <v/>
      </c>
      <c r="CP59" s="7" t="e">
        <f t="shared" si="52"/>
        <v>#VALUE!</v>
      </c>
      <c r="CQ59" s="1" t="str">
        <f t="shared" si="53"/>
        <v/>
      </c>
      <c r="CR59" s="79" t="e">
        <f>IF(IF(COUNTIF($CR$4:CR58,CR55)&gt;=MAX($D$4:$D$8),CR55+4,CR55)&gt;55,"",IF(COUNTIF($CR$4:CR58,CR55)&gt;=MAX($D$4:$D$8),CR55+4,CR55))</f>
        <v>#VALUE!</v>
      </c>
      <c r="CS59" s="1" t="e">
        <f t="shared" si="35"/>
        <v>#VALUE!</v>
      </c>
      <c r="CT59" s="8" t="str">
        <f t="shared" si="54"/>
        <v/>
      </c>
      <c r="CV59" s="71" t="e">
        <f t="shared" si="65"/>
        <v>#VALUE!</v>
      </c>
      <c r="CW59" s="71" t="str">
        <f>IF(OR(COUNTBLANK(CZ59)=1,ISERROR(CZ59)),"",COUNT($CZ$4:CZ59))</f>
        <v/>
      </c>
      <c r="CX59" s="7" t="e">
        <f t="shared" si="66"/>
        <v>#VALUE!</v>
      </c>
      <c r="CY59" s="1" t="str">
        <f t="shared" si="67"/>
        <v/>
      </c>
      <c r="CZ59" s="79" t="e">
        <f>IF(IF(COUNTIF($CZ$4:CZ58,CZ54)&gt;=MAX($D$4:$D$8),CZ54+5,CZ54)&gt;55,"",IF(COUNTIF($CZ$4:CZ58,CZ54)&gt;=MAX($D$4:$D$8),CZ54+5,CZ54))</f>
        <v>#VALUE!</v>
      </c>
      <c r="DA59" s="1" t="e">
        <f t="shared" si="40"/>
        <v>#VALUE!</v>
      </c>
      <c r="DB59" s="8" t="str">
        <f t="shared" si="68"/>
        <v/>
      </c>
    </row>
    <row r="60" spans="5:106" x14ac:dyDescent="0.15">
      <c r="E60" s="1">
        <v>57</v>
      </c>
      <c r="F60" s="1">
        <f t="shared" si="42"/>
        <v>1</v>
      </c>
      <c r="G60" s="1">
        <f t="shared" si="60"/>
        <v>1</v>
      </c>
      <c r="H60" s="1">
        <f t="shared" si="45"/>
        <v>1</v>
      </c>
      <c r="I60" s="1">
        <f t="shared" si="50"/>
        <v>1</v>
      </c>
      <c r="J60" s="1">
        <f t="shared" si="55"/>
        <v>1</v>
      </c>
      <c r="L60" s="1" t="str">
        <f>IF(ISERROR(HLOOKUP($C$10,$F$3:$J$253,58,0)),"",HLOOKUP($C$10,$F$3:$J$253,58,0))</f>
        <v/>
      </c>
      <c r="W60" s="71" t="e">
        <f>IF(AA60="","",AA60*10+2)</f>
        <v>#VALUE!</v>
      </c>
      <c r="X60" s="71" t="str">
        <f>IF(OR(COUNTBLANK(AA60)=1,ISERROR(AA60)),"",COUNT(AA4:AA60))</f>
        <v/>
      </c>
      <c r="Y60" s="7" t="e">
        <f t="shared" si="0"/>
        <v>#VALUE!</v>
      </c>
      <c r="Z60" s="1" t="str">
        <f t="shared" si="17"/>
        <v/>
      </c>
      <c r="AA60" s="79" t="e">
        <f>IF(IF(COUNTIF(AA4:AA59,AA59)&gt;=MAX(D4:D8),AA59+1,AA59)&gt;50,"",IF(COUNTIF(AA4:AA59,AA59)&gt;=MAX(D4:D8),AA59+1,AA59))</f>
        <v>#VALUE!</v>
      </c>
      <c r="AB60" s="1" t="e">
        <f>IF(AA60="","",VLOOKUP(AA60,S4:U53,3,0))</f>
        <v>#VALUE!</v>
      </c>
      <c r="AC60" s="8" t="str">
        <f t="shared" si="1"/>
        <v/>
      </c>
      <c r="AE60" s="71" t="e">
        <f t="shared" si="2"/>
        <v>#VALUE!</v>
      </c>
      <c r="AF60" s="71" t="str">
        <f>IF(OR(COUNTBLANK(AI60)=1,ISERROR(AI60)),"",COUNT(AI4:AI60))</f>
        <v/>
      </c>
      <c r="AG60" s="7" t="e">
        <f t="shared" si="3"/>
        <v>#VALUE!</v>
      </c>
      <c r="AH60" s="1" t="str">
        <f>IF(ISERROR(INDEX(C4:C8,MATCH(G60,D4:D8,0))),"",INDEX(C4:C8,MATCH(G60,D4:D8,0)))</f>
        <v/>
      </c>
      <c r="AI60" s="79" t="e">
        <f>IF(IF(COUNTIF(AI4:AI59,AI58)&gt;=MAX(D4:D8),AI58+2,AI58)&gt;50,"",IF(COUNTIF(AI4:AI59,AI58)&gt;=MAX(D4:D8),AI58+2,AI58))</f>
        <v>#VALUE!</v>
      </c>
      <c r="AJ60" s="1" t="e">
        <f>IF(AI60="","",VLOOKUP(AI60,S4:U53,3,0))</f>
        <v>#VALUE!</v>
      </c>
      <c r="AK60" s="8" t="str">
        <f t="shared" si="4"/>
        <v/>
      </c>
      <c r="AM60" s="71" t="e">
        <f t="shared" si="5"/>
        <v>#VALUE!</v>
      </c>
      <c r="AN60" s="71" t="str">
        <f>IF(OR(COUNTBLANK(AQ60)=1,ISERROR(AQ60)),"",COUNT(AQ4:AQ60))</f>
        <v/>
      </c>
      <c r="AO60" s="7" t="e">
        <f t="shared" si="6"/>
        <v>#VALUE!</v>
      </c>
      <c r="AP60" s="1" t="str">
        <f>IF(ISERROR(INDEX(C4:C8,MATCH(H60,D4:D8,0))),"",INDEX(C4:C8,MATCH(H60,D4:D8,0)))</f>
        <v/>
      </c>
      <c r="AQ60" s="79" t="e">
        <f>IF(IF(COUNTIF(AQ4:AQ59,AQ57)&gt;=MAX(D4:D8),AQ57+3,AQ57)&gt;50,"",IF(COUNTIF(AQ4:AQ59,AQ57)&gt;=MAX(D4:D8),AQ57+3,AQ57))</f>
        <v>#VALUE!</v>
      </c>
      <c r="AR60" s="1" t="e">
        <f>IF(AQ60="","",VLOOKUP(AQ60,S4:U53,3,0))</f>
        <v>#VALUE!</v>
      </c>
      <c r="AS60" s="8" t="str">
        <f t="shared" si="7"/>
        <v/>
      </c>
      <c r="AU60" s="71" t="e">
        <f t="shared" si="8"/>
        <v>#VALUE!</v>
      </c>
      <c r="AV60" s="71" t="str">
        <f>IF(OR(COUNTBLANK(AY60)=1,ISERROR(AY60)),"",COUNT(AY4:AY60))</f>
        <v/>
      </c>
      <c r="AW60" s="7" t="e">
        <f t="shared" si="9"/>
        <v>#VALUE!</v>
      </c>
      <c r="AX60" s="1" t="str">
        <f>IF(ISERROR(INDEX(C4:C8,MATCH(I60,D4:D8,0))),"",INDEX(C4:C8,MATCH(I60,D4:D8,0)))</f>
        <v/>
      </c>
      <c r="AY60" s="79" t="e">
        <f>IF(IF(COUNTIF(AY4:AY59,AY56)&gt;=MAX(D4:D8),AY56+4,AY56)&gt;50,"",IF(COUNTIF(AY4:AY59,AY56)&gt;=MAX(D4:D8),AY56+4,AY56))</f>
        <v>#VALUE!</v>
      </c>
      <c r="AZ60" s="76" t="e">
        <f>IF(AY60="","",VLOOKUP(AY60,S4:U53,3,0))</f>
        <v>#VALUE!</v>
      </c>
      <c r="BA60" s="8" t="str">
        <f t="shared" si="10"/>
        <v/>
      </c>
      <c r="BC60" s="71" t="e">
        <f t="shared" si="11"/>
        <v>#VALUE!</v>
      </c>
      <c r="BD60" s="71" t="str">
        <f>IF(OR(COUNTBLANK(BG60)=1,ISERROR(BG60)),"",COUNT(BG4:BG60))</f>
        <v/>
      </c>
      <c r="BE60" s="7" t="e">
        <f t="shared" si="12"/>
        <v>#VALUE!</v>
      </c>
      <c r="BF60" s="1" t="str">
        <f>IF(ISERROR(INDEX(C4:C8,MATCH(J60,D4:D8,0))),"",INDEX(C4:C8,MATCH(J60,D4:D8,0)))</f>
        <v/>
      </c>
      <c r="BG60" s="79" t="e">
        <f>IF(IF(COUNTIF(BG4:BG59,BG55)&gt;=MAX(D4:D8),BG55+5,BG55)&gt;50,"",IF(COUNTIF(BG4:BG59,BG55)&gt;=MAX(D4:D8),BG55+5,BG55))</f>
        <v>#VALUE!</v>
      </c>
      <c r="BH60" s="76" t="e">
        <f>IF(BG60="","",VLOOKUP(BG60,S4:U53,3,0))</f>
        <v>#VALUE!</v>
      </c>
      <c r="BI60" s="8" t="str">
        <f t="shared" si="13"/>
        <v/>
      </c>
      <c r="BP60" s="71" t="e">
        <f>IF(BT60="","",BT60*10+2)</f>
        <v>#VALUE!</v>
      </c>
      <c r="BQ60" s="71" t="str">
        <f>IF(OR(COUNTBLANK(BT60)=1,ISERROR(BT60)),"",COUNT(BT4:BT60))</f>
        <v/>
      </c>
      <c r="BR60" s="7" t="e">
        <f t="shared" si="18"/>
        <v>#VALUE!</v>
      </c>
      <c r="BS60" s="1" t="str">
        <f t="shared" si="19"/>
        <v/>
      </c>
      <c r="BT60" s="79" t="e">
        <f>IF(IF(COUNTIF($BT$4:BT59,BT59)&gt;=MAX($D$4:$D$8),BT59+1,BT59)&gt;55,"",IF(COUNTIF($BT$4:BT59,BT59)&gt;=MAX($D$4:$D$8),BT59+1,BT59))</f>
        <v>#VALUE!</v>
      </c>
      <c r="BU60" s="1" t="e">
        <f t="shared" si="20"/>
        <v>#VALUE!</v>
      </c>
      <c r="BV60" s="8" t="str">
        <f t="shared" si="21"/>
        <v/>
      </c>
      <c r="BX60" s="71" t="e">
        <f t="shared" si="22"/>
        <v>#VALUE!</v>
      </c>
      <c r="BY60" s="71" t="str">
        <f>IF(OR(COUNTBLANK(CB60)=1,ISERROR(CB60)),"",COUNT($CB$4:CB60))</f>
        <v/>
      </c>
      <c r="BZ60" s="7" t="e">
        <f t="shared" si="23"/>
        <v>#VALUE!</v>
      </c>
      <c r="CA60" s="1" t="str">
        <f t="shared" si="24"/>
        <v/>
      </c>
      <c r="CB60" s="79" t="e">
        <f>IF(IF(COUNTIF($CB$4:CB59,CB58)&gt;=MAX($D$4:$D$8),CB58+2,CB58)&gt;55,"",IF(COUNTIF($CB$4:CB59,CB58)&gt;=MAX($D$4:$D$8),CB58+2,CB58))</f>
        <v>#VALUE!</v>
      </c>
      <c r="CC60" s="1" t="e">
        <f t="shared" si="25"/>
        <v>#VALUE!</v>
      </c>
      <c r="CD60" s="8" t="str">
        <f t="shared" si="26"/>
        <v/>
      </c>
      <c r="CF60" s="71" t="e">
        <f t="shared" si="61"/>
        <v>#VALUE!</v>
      </c>
      <c r="CG60" s="71" t="str">
        <f>IF(OR(COUNTBLANK(CJ60)=1,ISERROR(CJ60)),"",COUNT($CJ$4:CJ60))</f>
        <v/>
      </c>
      <c r="CH60" s="7" t="e">
        <f t="shared" si="62"/>
        <v>#VALUE!</v>
      </c>
      <c r="CI60" s="1" t="str">
        <f t="shared" si="63"/>
        <v/>
      </c>
      <c r="CJ60" s="79" t="e">
        <f>IF(IF(COUNTIF($CJ$4:CJ59,CJ57)&gt;=MAX($D$4:$D$8),CJ57+3,CJ57)&gt;55,"",IF(COUNTIF($CJ$4:CJ59,CJ57)&gt;=MAX($D$4:$D$8),CJ57+3,CJ57))</f>
        <v>#VALUE!</v>
      </c>
      <c r="CK60" s="1" t="e">
        <f t="shared" si="30"/>
        <v>#VALUE!</v>
      </c>
      <c r="CL60" s="8" t="str">
        <f t="shared" si="64"/>
        <v/>
      </c>
      <c r="CN60" s="71" t="e">
        <f t="shared" si="51"/>
        <v>#VALUE!</v>
      </c>
      <c r="CO60" s="71" t="str">
        <f>IF(OR(COUNTBLANK(CR60)=1,ISERROR(CR60)),"",COUNT($CR$4:CR60))</f>
        <v/>
      </c>
      <c r="CP60" s="7" t="e">
        <f t="shared" si="52"/>
        <v>#VALUE!</v>
      </c>
      <c r="CQ60" s="1" t="str">
        <f t="shared" si="53"/>
        <v/>
      </c>
      <c r="CR60" s="79" t="e">
        <f>IF(IF(COUNTIF($CR$4:CR59,CR56)&gt;=MAX($D$4:$D$8),CR56+4,CR56)&gt;55,"",IF(COUNTIF($CR$4:CR59,CR56)&gt;=MAX($D$4:$D$8),CR56+4,CR56))</f>
        <v>#VALUE!</v>
      </c>
      <c r="CS60" s="1" t="e">
        <f t="shared" si="35"/>
        <v>#VALUE!</v>
      </c>
      <c r="CT60" s="8" t="str">
        <f t="shared" si="54"/>
        <v/>
      </c>
      <c r="CV60" s="71" t="e">
        <f t="shared" si="65"/>
        <v>#VALUE!</v>
      </c>
      <c r="CW60" s="71" t="str">
        <f>IF(OR(COUNTBLANK(CZ60)=1,ISERROR(CZ60)),"",COUNT($CZ$4:CZ60))</f>
        <v/>
      </c>
      <c r="CX60" s="7" t="e">
        <f t="shared" si="66"/>
        <v>#VALUE!</v>
      </c>
      <c r="CY60" s="1" t="str">
        <f t="shared" si="67"/>
        <v/>
      </c>
      <c r="CZ60" s="79" t="e">
        <f>IF(IF(COUNTIF($CZ$4:CZ59,CZ55)&gt;=MAX($D$4:$D$8),CZ55+5,CZ55)&gt;55,"",IF(COUNTIF($CZ$4:CZ59,CZ55)&gt;=MAX($D$4:$D$8),CZ55+5,CZ55))</f>
        <v>#VALUE!</v>
      </c>
      <c r="DA60" s="1" t="e">
        <f t="shared" si="40"/>
        <v>#VALUE!</v>
      </c>
      <c r="DB60" s="8" t="str">
        <f t="shared" si="68"/>
        <v/>
      </c>
    </row>
    <row r="61" spans="5:106" x14ac:dyDescent="0.15">
      <c r="E61" s="1">
        <v>58</v>
      </c>
      <c r="F61" s="1">
        <f t="shared" si="42"/>
        <v>1</v>
      </c>
      <c r="G61" s="1">
        <f t="shared" si="60"/>
        <v>1</v>
      </c>
      <c r="H61" s="1">
        <f t="shared" si="45"/>
        <v>1</v>
      </c>
      <c r="I61" s="1">
        <f t="shared" si="50"/>
        <v>1</v>
      </c>
      <c r="J61" s="1">
        <f t="shared" si="55"/>
        <v>1</v>
      </c>
      <c r="L61" s="1" t="str">
        <f>IF(ISERROR(HLOOKUP($C$10,$F$3:$J$253,59,0)),"",HLOOKUP($C$10,$F$3:$J$253,59,0))</f>
        <v/>
      </c>
      <c r="W61" s="71" t="e">
        <f>IF(AA61="","",AA61*10+3)</f>
        <v>#VALUE!</v>
      </c>
      <c r="X61" s="71" t="str">
        <f>IF(OR(COUNTBLANK(AA61)=1,ISERROR(AA61)),"",COUNT(AA4:AA61))</f>
        <v/>
      </c>
      <c r="Y61" s="7" t="e">
        <f t="shared" si="0"/>
        <v>#VALUE!</v>
      </c>
      <c r="Z61" s="1" t="str">
        <f t="shared" si="17"/>
        <v/>
      </c>
      <c r="AA61" s="79" t="e">
        <f>IF(IF(COUNTIF(AA4:AA60,AA60)&gt;=MAX(D4:D8),AA60+1,AA60)&gt;50,"",IF(COUNTIF(AA4:AA60,AA60)&gt;=MAX(D4:D8),AA60+1,AA60))</f>
        <v>#VALUE!</v>
      </c>
      <c r="AB61" s="1" t="e">
        <f>IF(AA61="","",VLOOKUP(AA61,S4:U53,3,0))</f>
        <v>#VALUE!</v>
      </c>
      <c r="AC61" s="8" t="str">
        <f t="shared" si="1"/>
        <v/>
      </c>
      <c r="AE61" s="71" t="e">
        <f t="shared" si="2"/>
        <v>#VALUE!</v>
      </c>
      <c r="AF61" s="71" t="str">
        <f>IF(OR(COUNTBLANK(AI61)=1,ISERROR(AI61)),"",COUNT(AI4:AI61))</f>
        <v/>
      </c>
      <c r="AG61" s="7" t="e">
        <f t="shared" si="3"/>
        <v>#VALUE!</v>
      </c>
      <c r="AH61" s="1" t="str">
        <f>IF(ISERROR(INDEX(C4:C8,MATCH(G61,D4:D8,0))),"",INDEX(C4:C8,MATCH(G61,D4:D8,0)))</f>
        <v/>
      </c>
      <c r="AI61" s="79" t="e">
        <f>IF(IF(COUNTIF(AI4:AI59,AI59)&gt;=MAX(D4:D8),AI59+2,AI59)&gt;50,"",IF(COUNTIF(AI4:AI59,AI59)&gt;=MAX(D4:D8),AI59+2,AI59))</f>
        <v>#VALUE!</v>
      </c>
      <c r="AJ61" s="1" t="e">
        <f>IF(AI61="","",VLOOKUP(AI61,S4:U53,3,0))</f>
        <v>#VALUE!</v>
      </c>
      <c r="AK61" s="8" t="str">
        <f t="shared" si="4"/>
        <v/>
      </c>
      <c r="AM61" s="71" t="e">
        <f t="shared" si="5"/>
        <v>#VALUE!</v>
      </c>
      <c r="AN61" s="71" t="str">
        <f>IF(OR(COUNTBLANK(AQ61)=1,ISERROR(AQ61)),"",COUNT(AQ4:AQ61))</f>
        <v/>
      </c>
      <c r="AO61" s="7" t="e">
        <f t="shared" si="6"/>
        <v>#VALUE!</v>
      </c>
      <c r="AP61" s="1" t="str">
        <f>IF(ISERROR(INDEX(C4:C8,MATCH(H61,D4:D8,0))),"",INDEX(C4:C8,MATCH(H61,D4:D8,0)))</f>
        <v/>
      </c>
      <c r="AQ61" s="79" t="e">
        <f>IF(IF(COUNTIF(AQ4:AQ60,AQ58)&gt;=MAX(D4:D8),AQ58+3,AQ58)&gt;50,"",IF(COUNTIF(AQ4:AQ60,AQ58)&gt;=MAX(D4:D8),AQ58+3,AQ58))</f>
        <v>#VALUE!</v>
      </c>
      <c r="AR61" s="1" t="e">
        <f>IF(AQ61="","",VLOOKUP(AQ61,S4:U53,3,0))</f>
        <v>#VALUE!</v>
      </c>
      <c r="AS61" s="8" t="str">
        <f t="shared" si="7"/>
        <v/>
      </c>
      <c r="AU61" s="71" t="e">
        <f t="shared" si="8"/>
        <v>#VALUE!</v>
      </c>
      <c r="AV61" s="71" t="str">
        <f>IF(OR(COUNTBLANK(AY61)=1,ISERROR(AY61)),"",COUNT(AY4:AY61))</f>
        <v/>
      </c>
      <c r="AW61" s="7" t="e">
        <f t="shared" si="9"/>
        <v>#VALUE!</v>
      </c>
      <c r="AX61" s="1" t="str">
        <f>IF(ISERROR(INDEX(C4:C8,MATCH(I61,D4:D8,0))),"",INDEX(C4:C8,MATCH(I61,D4:D8,0)))</f>
        <v/>
      </c>
      <c r="AY61" s="79" t="e">
        <f>IF(IF(COUNTIF(AY4:AY60,AY57)&gt;=MAX(D4:D8),AY57+4,AY57)&gt;50,"",IF(COUNTIF(AY4:AY60,AY57)&gt;=MAX(D4:D8),AY57+4,AY57))</f>
        <v>#VALUE!</v>
      </c>
      <c r="AZ61" s="76" t="e">
        <f>IF(AY61="","",VLOOKUP(AY61,S4:U53,3,0))</f>
        <v>#VALUE!</v>
      </c>
      <c r="BA61" s="8" t="str">
        <f t="shared" si="10"/>
        <v/>
      </c>
      <c r="BC61" s="71" t="e">
        <f t="shared" si="11"/>
        <v>#VALUE!</v>
      </c>
      <c r="BD61" s="71" t="str">
        <f>IF(OR(COUNTBLANK(BG61)=1,ISERROR(BG61)),"",COUNT(BG4:BG61))</f>
        <v/>
      </c>
      <c r="BE61" s="7" t="e">
        <f t="shared" si="12"/>
        <v>#VALUE!</v>
      </c>
      <c r="BF61" s="1" t="str">
        <f>IF(ISERROR(INDEX(C4:C8,MATCH(J61,D4:D8,0))),"",INDEX(C4:C8,MATCH(J61,D4:D8,0)))</f>
        <v/>
      </c>
      <c r="BG61" s="79" t="e">
        <f>IF(IF(COUNTIF(BG4:BG60,BG56)&gt;=MAX(D4:D8),BG56+5,BG56)&gt;50,"",IF(COUNTIF(BG4:BG60,BG56)&gt;=MAX(D4:D8),BG56+5,BG56))</f>
        <v>#VALUE!</v>
      </c>
      <c r="BH61" s="76" t="e">
        <f>IF(BG61="","",VLOOKUP(BG61,S4:U53,3,0))</f>
        <v>#VALUE!</v>
      </c>
      <c r="BI61" s="8" t="str">
        <f t="shared" si="13"/>
        <v/>
      </c>
      <c r="BP61" s="71" t="e">
        <f>IF(BT61="","",BT61*10+3)</f>
        <v>#VALUE!</v>
      </c>
      <c r="BQ61" s="71" t="str">
        <f>IF(OR(COUNTBLANK(BT61)=1,ISERROR(BT61)),"",COUNT(BT4:BT61))</f>
        <v/>
      </c>
      <c r="BR61" s="7" t="e">
        <f t="shared" si="18"/>
        <v>#VALUE!</v>
      </c>
      <c r="BS61" s="1" t="str">
        <f t="shared" si="19"/>
        <v/>
      </c>
      <c r="BT61" s="79" t="e">
        <f>IF(IF(COUNTIF($BT$4:BT60,BT60)&gt;=MAX($D$4:$D$8),BT60+1,BT60)&gt;55,"",IF(COUNTIF($BT$4:BT60,BT60)&gt;=MAX($D$4:$D$8),BT60+1,BT60))</f>
        <v>#VALUE!</v>
      </c>
      <c r="BU61" s="1" t="e">
        <f t="shared" si="20"/>
        <v>#VALUE!</v>
      </c>
      <c r="BV61" s="8" t="str">
        <f t="shared" si="21"/>
        <v/>
      </c>
      <c r="BX61" s="71" t="e">
        <f t="shared" si="22"/>
        <v>#VALUE!</v>
      </c>
      <c r="BY61" s="71" t="str">
        <f>IF(OR(COUNTBLANK(CB61)=1,ISERROR(CB61)),"",COUNT($CB$4:CB61))</f>
        <v/>
      </c>
      <c r="BZ61" s="7" t="e">
        <f t="shared" si="23"/>
        <v>#VALUE!</v>
      </c>
      <c r="CA61" s="1" t="str">
        <f t="shared" si="24"/>
        <v/>
      </c>
      <c r="CB61" s="79" t="e">
        <f>IF(IF(COUNTIF($CB$4:CB60,CB59)&gt;=MAX($D$4:$D$8),CB59+2,CB59)&gt;55,"",IF(COUNTIF($CB$4:CB60,CB59)&gt;=MAX($D$4:$D$8),CB59+2,CB59))</f>
        <v>#VALUE!</v>
      </c>
      <c r="CC61" s="1" t="e">
        <f t="shared" si="25"/>
        <v>#VALUE!</v>
      </c>
      <c r="CD61" s="8" t="str">
        <f t="shared" si="26"/>
        <v/>
      </c>
      <c r="CF61" s="71" t="e">
        <f t="shared" si="61"/>
        <v>#VALUE!</v>
      </c>
      <c r="CG61" s="71" t="str">
        <f>IF(OR(COUNTBLANK(CJ61)=1,ISERROR(CJ61)),"",COUNT($CJ$4:CJ61))</f>
        <v/>
      </c>
      <c r="CH61" s="7" t="e">
        <f t="shared" si="62"/>
        <v>#VALUE!</v>
      </c>
      <c r="CI61" s="1" t="str">
        <f t="shared" si="63"/>
        <v/>
      </c>
      <c r="CJ61" s="79" t="e">
        <f>IF(IF(COUNTIF($CJ$4:CJ60,CJ58)&gt;=MAX($D$4:$D$8),CJ58+3,CJ58)&gt;55,"",IF(COUNTIF($CJ$4:CJ60,CJ58)&gt;=MAX($D$4:$D$8),CJ58+3,CJ58))</f>
        <v>#VALUE!</v>
      </c>
      <c r="CK61" s="1" t="e">
        <f t="shared" si="30"/>
        <v>#VALUE!</v>
      </c>
      <c r="CL61" s="8" t="str">
        <f t="shared" si="64"/>
        <v/>
      </c>
      <c r="CN61" s="71" t="e">
        <f t="shared" si="51"/>
        <v>#VALUE!</v>
      </c>
      <c r="CO61" s="71" t="str">
        <f>IF(OR(COUNTBLANK(CR61)=1,ISERROR(CR61)),"",COUNT($CR$4:CR61))</f>
        <v/>
      </c>
      <c r="CP61" s="7" t="e">
        <f t="shared" si="52"/>
        <v>#VALUE!</v>
      </c>
      <c r="CQ61" s="1" t="str">
        <f t="shared" si="53"/>
        <v/>
      </c>
      <c r="CR61" s="79" t="e">
        <f>IF(IF(COUNTIF($CR$4:CR60,CR57)&gt;=MAX($D$4:$D$8),CR57+4,CR57)&gt;55,"",IF(COUNTIF($CR$4:CR60,CR57)&gt;=MAX($D$4:$D$8),CR57+4,CR57))</f>
        <v>#VALUE!</v>
      </c>
      <c r="CS61" s="1" t="e">
        <f t="shared" si="35"/>
        <v>#VALUE!</v>
      </c>
      <c r="CT61" s="8" t="str">
        <f t="shared" si="54"/>
        <v/>
      </c>
      <c r="CV61" s="71" t="e">
        <f t="shared" si="65"/>
        <v>#VALUE!</v>
      </c>
      <c r="CW61" s="71" t="str">
        <f>IF(OR(COUNTBLANK(CZ61)=1,ISERROR(CZ61)),"",COUNT($CZ$4:CZ61))</f>
        <v/>
      </c>
      <c r="CX61" s="7" t="e">
        <f t="shared" si="66"/>
        <v>#VALUE!</v>
      </c>
      <c r="CY61" s="1" t="str">
        <f t="shared" si="67"/>
        <v/>
      </c>
      <c r="CZ61" s="79" t="e">
        <f>IF(IF(COUNTIF($CZ$4:CZ60,CZ56)&gt;=MAX($D$4:$D$8),CZ56+5,CZ56)&gt;55,"",IF(COUNTIF($CZ$4:CZ60,CZ56)&gt;=MAX($D$4:$D$8),CZ56+5,CZ56))</f>
        <v>#VALUE!</v>
      </c>
      <c r="DA61" s="1" t="e">
        <f t="shared" si="40"/>
        <v>#VALUE!</v>
      </c>
      <c r="DB61" s="8" t="str">
        <f t="shared" si="68"/>
        <v/>
      </c>
    </row>
    <row r="62" spans="5:106" x14ac:dyDescent="0.15">
      <c r="E62" s="1">
        <v>59</v>
      </c>
      <c r="F62" s="1">
        <f t="shared" si="42"/>
        <v>1</v>
      </c>
      <c r="G62" s="1">
        <f t="shared" si="60"/>
        <v>1</v>
      </c>
      <c r="H62" s="1">
        <f t="shared" si="45"/>
        <v>1</v>
      </c>
      <c r="I62" s="1">
        <f t="shared" si="50"/>
        <v>1</v>
      </c>
      <c r="J62" s="1">
        <f t="shared" si="55"/>
        <v>1</v>
      </c>
      <c r="L62" s="1" t="str">
        <f>IF(ISERROR(HLOOKUP($C$10,$F$3:$J$253,60,0)),"",HLOOKUP($C$10,$F$3:$J$253,60,0))</f>
        <v/>
      </c>
      <c r="W62" s="71" t="e">
        <f>IF(AA62="","",AA62*10+4)</f>
        <v>#VALUE!</v>
      </c>
      <c r="X62" s="71" t="str">
        <f>IF(OR(COUNTBLANK(AA62)=1,ISERROR(AA62)),"",COUNT(AA4:AA62))</f>
        <v/>
      </c>
      <c r="Y62" s="7" t="e">
        <f t="shared" si="0"/>
        <v>#VALUE!</v>
      </c>
      <c r="Z62" s="1" t="str">
        <f t="shared" si="17"/>
        <v/>
      </c>
      <c r="AA62" s="79" t="e">
        <f>IF(IF(COUNTIF(AA4:AA61,AA61)&gt;=MAX(D4:D8),AA61+1,AA61)&gt;50,"",IF(COUNTIF(AA4:AA61,AA61)&gt;=MAX(D4:D8),AA61+1,AA61))</f>
        <v>#VALUE!</v>
      </c>
      <c r="AB62" s="1" t="e">
        <f>IF(AA62="","",VLOOKUP(AA62,S4:U53,3,0))</f>
        <v>#VALUE!</v>
      </c>
      <c r="AC62" s="8" t="str">
        <f t="shared" si="1"/>
        <v/>
      </c>
      <c r="AE62" s="71" t="e">
        <f t="shared" si="2"/>
        <v>#VALUE!</v>
      </c>
      <c r="AF62" s="71" t="str">
        <f>IF(OR(COUNTBLANK(AI62)=1,ISERROR(AI62)),"",COUNT(AI4:AI62))</f>
        <v/>
      </c>
      <c r="AG62" s="7" t="e">
        <f t="shared" si="3"/>
        <v>#VALUE!</v>
      </c>
      <c r="AH62" s="1" t="str">
        <f>IF(ISERROR(INDEX(C4:C8,MATCH(G62,D4:D8,0))),"",INDEX(C4:C8,MATCH(G62,D4:D8,0)))</f>
        <v/>
      </c>
      <c r="AI62" s="79" t="e">
        <f>IF(IF(COUNTIF(AI4:AI61,AI60)&gt;=MAX(D4:D8),AI60+2,AI60)&gt;50,"",IF(COUNTIF(AI4:AI61,AI60)&gt;=MAX(D4:D8),AI60+2,AI60))</f>
        <v>#VALUE!</v>
      </c>
      <c r="AJ62" s="1" t="e">
        <f>IF(AI62="","",VLOOKUP(AI62,S4:U53,3,0))</f>
        <v>#VALUE!</v>
      </c>
      <c r="AK62" s="8" t="str">
        <f t="shared" si="4"/>
        <v/>
      </c>
      <c r="AM62" s="71" t="e">
        <f t="shared" si="5"/>
        <v>#VALUE!</v>
      </c>
      <c r="AN62" s="71" t="str">
        <f>IF(OR(COUNTBLANK(AQ62)=1,ISERROR(AQ62)),"",COUNT(AQ4:AQ62))</f>
        <v/>
      </c>
      <c r="AO62" s="7" t="e">
        <f t="shared" si="6"/>
        <v>#VALUE!</v>
      </c>
      <c r="AP62" s="1" t="str">
        <f>IF(ISERROR(INDEX(C4:C8,MATCH(H62,D4:D8,0))),"",INDEX(C4:C8,MATCH(H62,D4:D8,0)))</f>
        <v/>
      </c>
      <c r="AQ62" s="79" t="e">
        <f>IF(IF(COUNTIF(AQ4:AQ61,AQ59)&gt;=MAX(D4:D8),AQ59+3,AQ59)&gt;50,"",IF(COUNTIF(AQ4:AQ61,AQ59)&gt;=MAX(D4:D8),AQ59+3,AQ59))</f>
        <v>#VALUE!</v>
      </c>
      <c r="AR62" s="1" t="e">
        <f>IF(AQ62="","",VLOOKUP(AQ62,S4:U53,3,0))</f>
        <v>#VALUE!</v>
      </c>
      <c r="AS62" s="8" t="str">
        <f t="shared" si="7"/>
        <v/>
      </c>
      <c r="AU62" s="71" t="e">
        <f t="shared" si="8"/>
        <v>#VALUE!</v>
      </c>
      <c r="AV62" s="71" t="str">
        <f>IF(OR(COUNTBLANK(AY62)=1,ISERROR(AY62)),"",COUNT(AY4:AY62))</f>
        <v/>
      </c>
      <c r="AW62" s="7" t="e">
        <f t="shared" si="9"/>
        <v>#VALUE!</v>
      </c>
      <c r="AX62" s="1" t="str">
        <f>IF(ISERROR(INDEX(C4:C8,MATCH(I62,D4:D8,0))),"",INDEX(C4:C8,MATCH(I62,D4:D8,0)))</f>
        <v/>
      </c>
      <c r="AY62" s="79" t="e">
        <f>IF(IF(COUNTIF(AY4:AY61,AY58)&gt;=MAX(D4:D8),AY58+4,AY58)&gt;50,"",IF(COUNTIF(AY4:AY61,AY58)&gt;=MAX(D4:D8),AY58+4,AY58))</f>
        <v>#VALUE!</v>
      </c>
      <c r="AZ62" s="76" t="e">
        <f>IF(AY62="","",VLOOKUP(AY62,S4:U53,3,0))</f>
        <v>#VALUE!</v>
      </c>
      <c r="BA62" s="8" t="str">
        <f t="shared" si="10"/>
        <v/>
      </c>
      <c r="BC62" s="71" t="e">
        <f t="shared" si="11"/>
        <v>#VALUE!</v>
      </c>
      <c r="BD62" s="71" t="str">
        <f>IF(OR(COUNTBLANK(BG62)=1,ISERROR(BG62)),"",COUNT(BG4:BG62))</f>
        <v/>
      </c>
      <c r="BE62" s="7" t="e">
        <f t="shared" si="12"/>
        <v>#VALUE!</v>
      </c>
      <c r="BF62" s="1" t="str">
        <f>IF(ISERROR(INDEX(C4:C8,MATCH(J62,D4:D8,0))),"",INDEX(C4:C8,MATCH(J62,D4:D8,0)))</f>
        <v/>
      </c>
      <c r="BG62" s="79" t="e">
        <f>IF(IF(COUNTIF(BG4:BG61,BG57)&gt;=MAX(D4:D8),BG57+5,BG57)&gt;50,"",IF(COUNTIF(BG4:BG61,BG57)&gt;=MAX(D4:D8),BG57+5,BG57))</f>
        <v>#VALUE!</v>
      </c>
      <c r="BH62" s="76" t="e">
        <f>IF(BG62="","",VLOOKUP(BG62,S4:U53,3,0))</f>
        <v>#VALUE!</v>
      </c>
      <c r="BI62" s="8" t="str">
        <f t="shared" si="13"/>
        <v/>
      </c>
      <c r="BP62" s="71" t="e">
        <f>IF(BT62="","",BT62*10+4)</f>
        <v>#VALUE!</v>
      </c>
      <c r="BQ62" s="71" t="str">
        <f>IF(OR(COUNTBLANK(BT62)=1,ISERROR(BT62)),"",COUNT(BT4:BT62))</f>
        <v/>
      </c>
      <c r="BR62" s="7" t="e">
        <f t="shared" si="18"/>
        <v>#VALUE!</v>
      </c>
      <c r="BS62" s="1" t="str">
        <f t="shared" si="19"/>
        <v/>
      </c>
      <c r="BT62" s="79" t="e">
        <f>IF(IF(COUNTIF($BT$4:BT61,BT61)&gt;=MAX($D$4:$D$8),BT61+1,BT61)&gt;55,"",IF(COUNTIF($BT$4:BT61,BT61)&gt;=MAX($D$4:$D$8),BT61+1,BT61))</f>
        <v>#VALUE!</v>
      </c>
      <c r="BU62" s="1" t="e">
        <f t="shared" si="20"/>
        <v>#VALUE!</v>
      </c>
      <c r="BV62" s="8" t="str">
        <f t="shared" si="21"/>
        <v/>
      </c>
      <c r="BX62" s="71" t="e">
        <f t="shared" si="22"/>
        <v>#VALUE!</v>
      </c>
      <c r="BY62" s="71" t="str">
        <f>IF(OR(COUNTBLANK(CB62)=1,ISERROR(CB62)),"",COUNT($CB$4:CB62))</f>
        <v/>
      </c>
      <c r="BZ62" s="7" t="e">
        <f t="shared" si="23"/>
        <v>#VALUE!</v>
      </c>
      <c r="CA62" s="1" t="str">
        <f t="shared" si="24"/>
        <v/>
      </c>
      <c r="CB62" s="79" t="e">
        <f>IF(IF(COUNTIF($CB$4:CB61,CB60)&gt;=MAX($D$4:$D$8),CB60+2,CB60)&gt;55,"",IF(COUNTIF($CB$4:CB61,CB60)&gt;=MAX($D$4:$D$8),CB60+2,CB60))</f>
        <v>#VALUE!</v>
      </c>
      <c r="CC62" s="1" t="e">
        <f t="shared" si="25"/>
        <v>#VALUE!</v>
      </c>
      <c r="CD62" s="8" t="str">
        <f t="shared" si="26"/>
        <v/>
      </c>
      <c r="CF62" s="71" t="e">
        <f t="shared" si="61"/>
        <v>#VALUE!</v>
      </c>
      <c r="CG62" s="71" t="str">
        <f>IF(OR(COUNTBLANK(CJ62)=1,ISERROR(CJ62)),"",COUNT($CJ$4:CJ62))</f>
        <v/>
      </c>
      <c r="CH62" s="7" t="e">
        <f t="shared" si="62"/>
        <v>#VALUE!</v>
      </c>
      <c r="CI62" s="1" t="str">
        <f t="shared" si="63"/>
        <v/>
      </c>
      <c r="CJ62" s="79" t="e">
        <f>IF(IF(COUNTIF($CJ$4:CJ61,CJ59)&gt;=MAX($D$4:$D$8),CJ59+3,CJ59)&gt;55,"",IF(COUNTIF($CJ$4:CJ61,CJ59)&gt;=MAX($D$4:$D$8),CJ59+3,CJ59))</f>
        <v>#VALUE!</v>
      </c>
      <c r="CK62" s="1" t="e">
        <f t="shared" si="30"/>
        <v>#VALUE!</v>
      </c>
      <c r="CL62" s="8" t="str">
        <f t="shared" si="64"/>
        <v/>
      </c>
      <c r="CN62" s="71" t="e">
        <f t="shared" si="51"/>
        <v>#VALUE!</v>
      </c>
      <c r="CO62" s="71" t="str">
        <f>IF(OR(COUNTBLANK(CR62)=1,ISERROR(CR62)),"",COUNT($CR$4:CR62))</f>
        <v/>
      </c>
      <c r="CP62" s="7" t="e">
        <f t="shared" si="52"/>
        <v>#VALUE!</v>
      </c>
      <c r="CQ62" s="1" t="str">
        <f t="shared" si="53"/>
        <v/>
      </c>
      <c r="CR62" s="79" t="e">
        <f>IF(IF(COUNTIF($CR$4:CR61,CR58)&gt;=MAX($D$4:$D$8),CR58+4,CR58)&gt;55,"",IF(COUNTIF($CR$4:CR61,CR58)&gt;=MAX($D$4:$D$8),CR58+4,CR58))</f>
        <v>#VALUE!</v>
      </c>
      <c r="CS62" s="1" t="e">
        <f t="shared" si="35"/>
        <v>#VALUE!</v>
      </c>
      <c r="CT62" s="8" t="str">
        <f t="shared" si="54"/>
        <v/>
      </c>
      <c r="CV62" s="71" t="e">
        <f t="shared" si="65"/>
        <v>#VALUE!</v>
      </c>
      <c r="CW62" s="71" t="str">
        <f>IF(OR(COUNTBLANK(CZ62)=1,ISERROR(CZ62)),"",COUNT($CZ$4:CZ62))</f>
        <v/>
      </c>
      <c r="CX62" s="7" t="e">
        <f t="shared" si="66"/>
        <v>#VALUE!</v>
      </c>
      <c r="CY62" s="1" t="str">
        <f t="shared" si="67"/>
        <v/>
      </c>
      <c r="CZ62" s="79" t="e">
        <f>IF(IF(COUNTIF($CZ$4:CZ61,CZ57)&gt;=MAX($D$4:$D$8),CZ57+5,CZ57)&gt;55,"",IF(COUNTIF($CZ$4:CZ61,CZ57)&gt;=MAX($D$4:$D$8),CZ57+5,CZ57))</f>
        <v>#VALUE!</v>
      </c>
      <c r="DA62" s="1" t="e">
        <f t="shared" si="40"/>
        <v>#VALUE!</v>
      </c>
      <c r="DB62" s="8" t="str">
        <f t="shared" si="68"/>
        <v/>
      </c>
    </row>
    <row r="63" spans="5:106" x14ac:dyDescent="0.15">
      <c r="E63" s="1">
        <v>60</v>
      </c>
      <c r="F63" s="1">
        <f t="shared" si="42"/>
        <v>1</v>
      </c>
      <c r="G63" s="1">
        <f t="shared" si="60"/>
        <v>1</v>
      </c>
      <c r="H63" s="1">
        <f t="shared" si="45"/>
        <v>1</v>
      </c>
      <c r="I63" s="1">
        <f t="shared" si="50"/>
        <v>1</v>
      </c>
      <c r="J63" s="1">
        <f t="shared" si="55"/>
        <v>1</v>
      </c>
      <c r="L63" s="1" t="str">
        <f>IF(ISERROR(HLOOKUP($C$10,$F$3:$J$253,61,0)),"",HLOOKUP($C$10,$F$3:$J$253,61,0))</f>
        <v/>
      </c>
      <c r="W63" s="71" t="e">
        <f>IF(AA63="","",AA63*10+5)</f>
        <v>#VALUE!</v>
      </c>
      <c r="X63" s="71" t="str">
        <f>IF(OR(COUNTBLANK(AA63)=1,ISERROR(AA63)),"",COUNT(AA4:AA63))</f>
        <v/>
      </c>
      <c r="Y63" s="7" t="e">
        <f t="shared" si="0"/>
        <v>#VALUE!</v>
      </c>
      <c r="Z63" s="1" t="str">
        <f t="shared" si="17"/>
        <v/>
      </c>
      <c r="AA63" s="79" t="e">
        <f>IF(IF(COUNTIF(AA4:AA62,AA62)&gt;=MAX(D4:D8),AA62+1,AA62)&gt;50,"",IF(COUNTIF(AA4:AA62,AA62)&gt;=MAX(D4:D8),AA62+1,AA62))</f>
        <v>#VALUE!</v>
      </c>
      <c r="AB63" s="1" t="e">
        <f>IF(AA63="","",VLOOKUP(AA63,S4:U53,3,0))</f>
        <v>#VALUE!</v>
      </c>
      <c r="AC63" s="8" t="str">
        <f t="shared" si="1"/>
        <v/>
      </c>
      <c r="AE63" s="71" t="e">
        <f t="shared" si="2"/>
        <v>#VALUE!</v>
      </c>
      <c r="AF63" s="71" t="str">
        <f>IF(OR(COUNTBLANK(AI63)=1,ISERROR(AI63)),"",COUNT(AI4:AI63))</f>
        <v/>
      </c>
      <c r="AG63" s="7" t="e">
        <f t="shared" si="3"/>
        <v>#VALUE!</v>
      </c>
      <c r="AH63" s="1" t="str">
        <f>IF(ISERROR(INDEX(C4:C8,MATCH(G63,D4:D8,0))),"",INDEX(C4:C8,MATCH(G63,D4:D8,0)))</f>
        <v/>
      </c>
      <c r="AI63" s="79" t="e">
        <f>IF(IF(COUNTIF(AI4:AI61,AI61)&gt;=MAX(D4:D8),AI61+2,AI61)&gt;50,"",IF(COUNTIF(AI4:AI61,AI61)&gt;=MAX(D4:D8),AI61+2,AI61))</f>
        <v>#VALUE!</v>
      </c>
      <c r="AJ63" s="1" t="e">
        <f>IF(AI63="","",VLOOKUP(AI63,S4:U53,3,0))</f>
        <v>#VALUE!</v>
      </c>
      <c r="AK63" s="8" t="str">
        <f t="shared" si="4"/>
        <v/>
      </c>
      <c r="AM63" s="71" t="e">
        <f t="shared" si="5"/>
        <v>#VALUE!</v>
      </c>
      <c r="AN63" s="71" t="str">
        <f>IF(OR(COUNTBLANK(AQ63)=1,ISERROR(AQ63)),"",COUNT(AQ4:AQ63))</f>
        <v/>
      </c>
      <c r="AO63" s="7" t="e">
        <f t="shared" si="6"/>
        <v>#VALUE!</v>
      </c>
      <c r="AP63" s="1" t="str">
        <f>IF(ISERROR(INDEX(C4:C8,MATCH(H63,D4:D8,0))),"",INDEX(C4:C8,MATCH(H63,D4:D8,0)))</f>
        <v/>
      </c>
      <c r="AQ63" s="79" t="e">
        <f>IF(IF(COUNTIF(AQ4:AQ62,AQ60)&gt;=MAX(D4:D8),AQ60+3,AQ60)&gt;50,"",IF(COUNTIF(AQ4:AQ62,AQ60)&gt;=MAX(D4:D8),AQ60+3,AQ60))</f>
        <v>#VALUE!</v>
      </c>
      <c r="AR63" s="1" t="e">
        <f>IF(AQ63="","",VLOOKUP(AQ63,S4:U53,3,0))</f>
        <v>#VALUE!</v>
      </c>
      <c r="AS63" s="8" t="str">
        <f t="shared" si="7"/>
        <v/>
      </c>
      <c r="AU63" s="71" t="e">
        <f t="shared" si="8"/>
        <v>#VALUE!</v>
      </c>
      <c r="AV63" s="71" t="str">
        <f>IF(OR(COUNTBLANK(AY63)=1,ISERROR(AY63)),"",COUNT(AY4:AY63))</f>
        <v/>
      </c>
      <c r="AW63" s="7" t="e">
        <f t="shared" si="9"/>
        <v>#VALUE!</v>
      </c>
      <c r="AX63" s="1" t="str">
        <f>IF(ISERROR(INDEX(C4:C8,MATCH(I63,D4:D8,0))),"",INDEX(C4:C8,MATCH(I63,D4:D8,0)))</f>
        <v/>
      </c>
      <c r="AY63" s="79" t="e">
        <f>IF(IF(COUNTIF(AY4:AY62,AY59)&gt;=MAX(D4:D8),AY59+4,AY59)&gt;50,"",IF(COUNTIF(AY4:AY62,AY59)&gt;=MAX(D4:D8),AY59+4,AY59))</f>
        <v>#VALUE!</v>
      </c>
      <c r="AZ63" s="76" t="e">
        <f>IF(AY63="","",VLOOKUP(AY63,S4:U53,3,0))</f>
        <v>#VALUE!</v>
      </c>
      <c r="BA63" s="8" t="str">
        <f t="shared" si="10"/>
        <v/>
      </c>
      <c r="BC63" s="71" t="e">
        <f t="shared" si="11"/>
        <v>#VALUE!</v>
      </c>
      <c r="BD63" s="71" t="str">
        <f>IF(OR(COUNTBLANK(BG63)=1,ISERROR(BG63)),"",COUNT(BG4:BG63))</f>
        <v/>
      </c>
      <c r="BE63" s="7" t="e">
        <f t="shared" si="12"/>
        <v>#VALUE!</v>
      </c>
      <c r="BF63" s="1" t="str">
        <f>IF(ISERROR(INDEX(C4:C8,MATCH(J63,D4:D8,0))),"",INDEX(C4:C8,MATCH(J63,D4:D8,0)))</f>
        <v/>
      </c>
      <c r="BG63" s="79" t="e">
        <f>IF(IF(COUNTIF(BG4:BG62,BG58)&gt;=MAX(D4:D8),BG58+5,BG58)&gt;50,"",IF(COUNTIF(BG4:BG62,BG58)&gt;=MAX(D4:D8),BG58+5,BG58))</f>
        <v>#VALUE!</v>
      </c>
      <c r="BH63" s="76" t="e">
        <f>IF(BG63="","",VLOOKUP(BG63,S4:U53,3,0))</f>
        <v>#VALUE!</v>
      </c>
      <c r="BI63" s="8" t="str">
        <f t="shared" si="13"/>
        <v/>
      </c>
      <c r="BP63" s="71" t="e">
        <f>IF(BT63="","",BT63*10+5)</f>
        <v>#VALUE!</v>
      </c>
      <c r="BQ63" s="71" t="str">
        <f>IF(OR(COUNTBLANK(BT63)=1,ISERROR(BT63)),"",COUNT(BT4:BT63))</f>
        <v/>
      </c>
      <c r="BR63" s="7" t="e">
        <f t="shared" si="18"/>
        <v>#VALUE!</v>
      </c>
      <c r="BS63" s="1" t="str">
        <f t="shared" si="19"/>
        <v/>
      </c>
      <c r="BT63" s="79" t="e">
        <f>IF(IF(COUNTIF($BT$4:BT62,BT62)&gt;=MAX($D$4:$D$8),BT62+1,BT62)&gt;55,"",IF(COUNTIF($BT$4:BT62,BT62)&gt;=MAX($D$4:$D$8),BT62+1,BT62))</f>
        <v>#VALUE!</v>
      </c>
      <c r="BU63" s="1" t="e">
        <f t="shared" si="20"/>
        <v>#VALUE!</v>
      </c>
      <c r="BV63" s="8" t="str">
        <f t="shared" si="21"/>
        <v/>
      </c>
      <c r="BX63" s="71" t="e">
        <f t="shared" si="22"/>
        <v>#VALUE!</v>
      </c>
      <c r="BY63" s="71" t="str">
        <f>IF(OR(COUNTBLANK(CB63)=1,ISERROR(CB63)),"",COUNT($CB$4:CB63))</f>
        <v/>
      </c>
      <c r="BZ63" s="7" t="e">
        <f t="shared" si="23"/>
        <v>#VALUE!</v>
      </c>
      <c r="CA63" s="1" t="str">
        <f t="shared" si="24"/>
        <v/>
      </c>
      <c r="CB63" s="79" t="e">
        <f>IF(IF(COUNTIF($CB$4:CB62,CB61)&gt;=MAX($D$4:$D$8),CB61+2,CB61)&gt;55,"",IF(COUNTIF($CB$4:CB62,CB61)&gt;=MAX($D$4:$D$8),CB61+2,CB61))</f>
        <v>#VALUE!</v>
      </c>
      <c r="CC63" s="1" t="e">
        <f t="shared" si="25"/>
        <v>#VALUE!</v>
      </c>
      <c r="CD63" s="8" t="str">
        <f t="shared" si="26"/>
        <v/>
      </c>
      <c r="CF63" s="71" t="e">
        <f t="shared" si="61"/>
        <v>#VALUE!</v>
      </c>
      <c r="CG63" s="71" t="str">
        <f>IF(OR(COUNTBLANK(CJ63)=1,ISERROR(CJ63)),"",COUNT($CJ$4:CJ63))</f>
        <v/>
      </c>
      <c r="CH63" s="7" t="e">
        <f t="shared" si="62"/>
        <v>#VALUE!</v>
      </c>
      <c r="CI63" s="1" t="str">
        <f t="shared" si="63"/>
        <v/>
      </c>
      <c r="CJ63" s="79" t="e">
        <f>IF(IF(COUNTIF($CJ$4:CJ62,CJ60)&gt;=MAX($D$4:$D$8),CJ60+3,CJ60)&gt;55,"",IF(COUNTIF($CJ$4:CJ62,CJ60)&gt;=MAX($D$4:$D$8),CJ60+3,CJ60))</f>
        <v>#VALUE!</v>
      </c>
      <c r="CK63" s="1" t="e">
        <f t="shared" si="30"/>
        <v>#VALUE!</v>
      </c>
      <c r="CL63" s="8" t="str">
        <f t="shared" si="64"/>
        <v/>
      </c>
      <c r="CN63" s="71" t="e">
        <f t="shared" si="51"/>
        <v>#VALUE!</v>
      </c>
      <c r="CO63" s="71" t="str">
        <f>IF(OR(COUNTBLANK(CR63)=1,ISERROR(CR63)),"",COUNT($CR$4:CR63))</f>
        <v/>
      </c>
      <c r="CP63" s="7" t="e">
        <f t="shared" si="52"/>
        <v>#VALUE!</v>
      </c>
      <c r="CQ63" s="1" t="str">
        <f t="shared" si="53"/>
        <v/>
      </c>
      <c r="CR63" s="79" t="e">
        <f>IF(IF(COUNTIF($CR$4:CR62,CR59)&gt;=MAX($D$4:$D$8),CR59+4,CR59)&gt;55,"",IF(COUNTIF($CR$4:CR62,CR59)&gt;=MAX($D$4:$D$8),CR59+4,CR59))</f>
        <v>#VALUE!</v>
      </c>
      <c r="CS63" s="1" t="e">
        <f t="shared" si="35"/>
        <v>#VALUE!</v>
      </c>
      <c r="CT63" s="8" t="str">
        <f t="shared" si="54"/>
        <v/>
      </c>
      <c r="CV63" s="71" t="e">
        <f t="shared" si="65"/>
        <v>#VALUE!</v>
      </c>
      <c r="CW63" s="71" t="str">
        <f>IF(OR(COUNTBLANK(CZ63)=1,ISERROR(CZ63)),"",COUNT($CZ$4:CZ63))</f>
        <v/>
      </c>
      <c r="CX63" s="7" t="e">
        <f t="shared" si="66"/>
        <v>#VALUE!</v>
      </c>
      <c r="CY63" s="1" t="str">
        <f t="shared" si="67"/>
        <v/>
      </c>
      <c r="CZ63" s="79" t="e">
        <f>IF(IF(COUNTIF($CZ$4:CZ62,CZ58)&gt;=MAX($D$4:$D$8),CZ58+5,CZ58)&gt;55,"",IF(COUNTIF($CZ$4:CZ62,CZ58)&gt;=MAX($D$4:$D$8),CZ58+5,CZ58))</f>
        <v>#VALUE!</v>
      </c>
      <c r="DA63" s="1" t="e">
        <f t="shared" si="40"/>
        <v>#VALUE!</v>
      </c>
      <c r="DB63" s="8" t="str">
        <f t="shared" si="68"/>
        <v/>
      </c>
    </row>
    <row r="64" spans="5:106" x14ac:dyDescent="0.15">
      <c r="E64" s="1">
        <v>61</v>
      </c>
      <c r="F64" s="1">
        <f t="shared" si="42"/>
        <v>1</v>
      </c>
      <c r="G64" s="1">
        <f t="shared" si="60"/>
        <v>1</v>
      </c>
      <c r="H64" s="1">
        <f t="shared" si="45"/>
        <v>1</v>
      </c>
      <c r="I64" s="1">
        <f t="shared" si="50"/>
        <v>1</v>
      </c>
      <c r="J64" s="1">
        <f t="shared" si="55"/>
        <v>1</v>
      </c>
      <c r="L64" s="1" t="str">
        <f>IF(ISERROR(HLOOKUP($C$10,$F$3:$J$253,62,0)),"",HLOOKUP($C$10,$F$3:$J$253,62,0))</f>
        <v/>
      </c>
      <c r="W64" s="71" t="e">
        <f>IF(AA64="","",AA64*10+1)</f>
        <v>#VALUE!</v>
      </c>
      <c r="X64" s="71" t="str">
        <f>IF(OR(COUNTBLANK(AA64)=1,ISERROR(AA64)),"",COUNT(AA4:AA64))</f>
        <v/>
      </c>
      <c r="Y64" s="7" t="e">
        <f t="shared" si="0"/>
        <v>#VALUE!</v>
      </c>
      <c r="Z64" s="1" t="str">
        <f t="shared" si="17"/>
        <v/>
      </c>
      <c r="AA64" s="79" t="e">
        <f>IF(IF(COUNTIF(AA4:AA63,AA63)&gt;=MAX(D4:D8),AA63+1,AA63)&gt;50,"",IF(COUNTIF(AA4:AA63,AA63)&gt;=MAX(D4:D8),AA63+1,AA63))</f>
        <v>#VALUE!</v>
      </c>
      <c r="AB64" s="1" t="e">
        <f>IF(AA64="","",VLOOKUP(AA64,S4:U53,3,0))</f>
        <v>#VALUE!</v>
      </c>
      <c r="AC64" s="8" t="str">
        <f t="shared" si="1"/>
        <v/>
      </c>
      <c r="AE64" s="71" t="e">
        <f t="shared" si="2"/>
        <v>#VALUE!</v>
      </c>
      <c r="AF64" s="71" t="str">
        <f>IF(OR(COUNTBLANK(AI64)=1,ISERROR(AI64)),"",COUNT(AI4:AI64))</f>
        <v/>
      </c>
      <c r="AG64" s="7" t="e">
        <f t="shared" si="3"/>
        <v>#VALUE!</v>
      </c>
      <c r="AH64" s="1" t="str">
        <f>IF(ISERROR(INDEX(C4:C8,MATCH(G64,D4:D8,0))),"",INDEX(C4:C8,MATCH(G64,D4:D8,0)))</f>
        <v/>
      </c>
      <c r="AI64" s="79" t="e">
        <f>IF(IF(COUNTIF(AI4:AI63,AI62)&gt;=MAX(D4:D8),AI62+2,AI62)&gt;50,"",IF(COUNTIF(AI4:AI63,AI62)&gt;=MAX(D4:D8),AI62+2,AI62))</f>
        <v>#VALUE!</v>
      </c>
      <c r="AJ64" s="1" t="e">
        <f>IF(AI64="","",VLOOKUP(AI64,S4:U53,3,0))</f>
        <v>#VALUE!</v>
      </c>
      <c r="AK64" s="8" t="str">
        <f t="shared" si="4"/>
        <v/>
      </c>
      <c r="AM64" s="71" t="e">
        <f t="shared" si="5"/>
        <v>#VALUE!</v>
      </c>
      <c r="AN64" s="71" t="str">
        <f>IF(OR(COUNTBLANK(AQ64)=1,ISERROR(AQ64)),"",COUNT(AQ4:AQ64))</f>
        <v/>
      </c>
      <c r="AO64" s="7" t="e">
        <f t="shared" si="6"/>
        <v>#VALUE!</v>
      </c>
      <c r="AP64" s="1" t="str">
        <f>IF(ISERROR(INDEX(C4:C8,MATCH(H64,D4:D8,0))),"",INDEX(C4:C8,MATCH(H64,D4:D8,0)))</f>
        <v/>
      </c>
      <c r="AQ64" s="79" t="e">
        <f>IF(IF(COUNTIF(AQ4:AQ63,AQ61)&gt;=MAX(D4:D8),AQ61+3,AQ61)&gt;50,"",IF(COUNTIF(AQ4:AQ63,AQ61)&gt;=MAX(D4:D8),AQ61+3,AQ61))</f>
        <v>#VALUE!</v>
      </c>
      <c r="AR64" s="1" t="e">
        <f>IF(AQ64="","",VLOOKUP(AQ64,S4:U53,3,0))</f>
        <v>#VALUE!</v>
      </c>
      <c r="AS64" s="8" t="str">
        <f t="shared" si="7"/>
        <v/>
      </c>
      <c r="AU64" s="71" t="e">
        <f t="shared" si="8"/>
        <v>#VALUE!</v>
      </c>
      <c r="AV64" s="71" t="str">
        <f>IF(OR(COUNTBLANK(AY64)=1,ISERROR(AY64)),"",COUNT(AY4:AY64))</f>
        <v/>
      </c>
      <c r="AW64" s="7" t="e">
        <f t="shared" si="9"/>
        <v>#VALUE!</v>
      </c>
      <c r="AX64" s="1" t="str">
        <f>IF(ISERROR(INDEX(C4:C8,MATCH(I64,D4:D8,0))),"",INDEX(C4:C8,MATCH(I64,D4:D8,0)))</f>
        <v/>
      </c>
      <c r="AY64" s="79" t="e">
        <f>IF(IF(COUNTIF(AY4:AY63,AY60)&gt;=MAX(D4:D8),AY60+4,AY60)&gt;50,"",IF(COUNTIF(AY4:AY63,AY60)&gt;=MAX(D4:D8),AY60+4,AY60))</f>
        <v>#VALUE!</v>
      </c>
      <c r="AZ64" s="76" t="e">
        <f>IF(AY64="","",VLOOKUP(AY64,S4:U53,3,0))</f>
        <v>#VALUE!</v>
      </c>
      <c r="BA64" s="8" t="str">
        <f t="shared" si="10"/>
        <v/>
      </c>
      <c r="BC64" s="71" t="e">
        <f t="shared" si="11"/>
        <v>#VALUE!</v>
      </c>
      <c r="BD64" s="71" t="str">
        <f>IF(OR(COUNTBLANK(BG64)=1,ISERROR(BG64)),"",COUNT(BG4:BG64))</f>
        <v/>
      </c>
      <c r="BE64" s="7" t="e">
        <f t="shared" si="12"/>
        <v>#VALUE!</v>
      </c>
      <c r="BF64" s="1" t="str">
        <f>IF(ISERROR(INDEX(C4:C8,MATCH(J64,D4:D8,0))),"",INDEX(C4:C8,MATCH(J64,D4:D8,0)))</f>
        <v/>
      </c>
      <c r="BG64" s="79" t="e">
        <f>IF(IF(COUNTIF(BG4:BG63,BG59)&gt;=MAX(D4:D8),BG59+5,BG59)&gt;50,"",IF(COUNTIF(BG4:BG63,BG59)&gt;=MAX(D4:D8),BG59+5,BG59))</f>
        <v>#VALUE!</v>
      </c>
      <c r="BH64" s="76" t="e">
        <f>IF(BG64="","",VLOOKUP(BG64,S4:U53,3,0))</f>
        <v>#VALUE!</v>
      </c>
      <c r="BI64" s="8" t="str">
        <f t="shared" si="13"/>
        <v/>
      </c>
      <c r="BP64" s="71" t="e">
        <f>IF(BT64="","",BT64*10+1)</f>
        <v>#VALUE!</v>
      </c>
      <c r="BQ64" s="71" t="str">
        <f>IF(OR(COUNTBLANK(BT64)=1,ISERROR(BT64)),"",COUNT(BT4:BT64))</f>
        <v/>
      </c>
      <c r="BR64" s="7" t="e">
        <f t="shared" si="18"/>
        <v>#VALUE!</v>
      </c>
      <c r="BS64" s="1" t="str">
        <f t="shared" si="19"/>
        <v/>
      </c>
      <c r="BT64" s="79" t="e">
        <f>IF(IF(COUNTIF($BT$4:BT63,BT63)&gt;=MAX($D$4:$D$8),BT63+1,BT63)&gt;55,"",IF(COUNTIF($BT$4:BT63,BT63)&gt;=MAX($D$4:$D$8),BT63+1,BT63))</f>
        <v>#VALUE!</v>
      </c>
      <c r="BU64" s="1" t="e">
        <f t="shared" si="20"/>
        <v>#VALUE!</v>
      </c>
      <c r="BV64" s="8" t="str">
        <f t="shared" si="21"/>
        <v/>
      </c>
      <c r="BX64" s="71" t="e">
        <f t="shared" si="22"/>
        <v>#VALUE!</v>
      </c>
      <c r="BY64" s="71" t="str">
        <f>IF(OR(COUNTBLANK(CB64)=1,ISERROR(CB64)),"",COUNT($CB$4:CB64))</f>
        <v/>
      </c>
      <c r="BZ64" s="7" t="e">
        <f t="shared" si="23"/>
        <v>#VALUE!</v>
      </c>
      <c r="CA64" s="1" t="str">
        <f t="shared" si="24"/>
        <v/>
      </c>
      <c r="CB64" s="79" t="e">
        <f>IF(IF(COUNTIF($CB$4:CB63,CB62)&gt;=MAX($D$4:$D$8),CB62+2,CB62)&gt;55,"",IF(COUNTIF($CB$4:CB63,CB62)&gt;=MAX($D$4:$D$8),CB62+2,CB62))</f>
        <v>#VALUE!</v>
      </c>
      <c r="CC64" s="1" t="e">
        <f t="shared" si="25"/>
        <v>#VALUE!</v>
      </c>
      <c r="CD64" s="8" t="str">
        <f t="shared" si="26"/>
        <v/>
      </c>
      <c r="CF64" s="71" t="e">
        <f t="shared" si="61"/>
        <v>#VALUE!</v>
      </c>
      <c r="CG64" s="71" t="str">
        <f>IF(OR(COUNTBLANK(CJ64)=1,ISERROR(CJ64)),"",COUNT($CJ$4:CJ64))</f>
        <v/>
      </c>
      <c r="CH64" s="7" t="e">
        <f t="shared" si="62"/>
        <v>#VALUE!</v>
      </c>
      <c r="CI64" s="1" t="str">
        <f t="shared" si="63"/>
        <v/>
      </c>
      <c r="CJ64" s="79" t="e">
        <f>IF(IF(COUNTIF($CJ$4:CJ63,CJ61)&gt;=MAX($D$4:$D$8),CJ61+3,CJ61)&gt;55,"",IF(COUNTIF($CJ$4:CJ63,CJ61)&gt;=MAX($D$4:$D$8),CJ61+3,CJ61))</f>
        <v>#VALUE!</v>
      </c>
      <c r="CK64" s="1" t="e">
        <f t="shared" si="30"/>
        <v>#VALUE!</v>
      </c>
      <c r="CL64" s="8" t="str">
        <f t="shared" si="64"/>
        <v/>
      </c>
      <c r="CN64" s="71" t="e">
        <f t="shared" si="51"/>
        <v>#VALUE!</v>
      </c>
      <c r="CO64" s="71" t="str">
        <f>IF(OR(COUNTBLANK(CR64)=1,ISERROR(CR64)),"",COUNT($CR$4:CR64))</f>
        <v/>
      </c>
      <c r="CP64" s="7" t="e">
        <f t="shared" si="52"/>
        <v>#VALUE!</v>
      </c>
      <c r="CQ64" s="1" t="str">
        <f t="shared" si="53"/>
        <v/>
      </c>
      <c r="CR64" s="79" t="e">
        <f>IF(IF(COUNTIF($CR$4:CR63,CR60)&gt;=MAX($D$4:$D$8),CR60+4,CR60)&gt;55,"",IF(COUNTIF($CR$4:CR63,CR60)&gt;=MAX($D$4:$D$8),CR60+4,CR60))</f>
        <v>#VALUE!</v>
      </c>
      <c r="CS64" s="1" t="e">
        <f t="shared" si="35"/>
        <v>#VALUE!</v>
      </c>
      <c r="CT64" s="8" t="str">
        <f t="shared" si="54"/>
        <v/>
      </c>
      <c r="CV64" s="71" t="e">
        <f t="shared" si="65"/>
        <v>#VALUE!</v>
      </c>
      <c r="CW64" s="71" t="str">
        <f>IF(OR(COUNTBLANK(CZ64)=1,ISERROR(CZ64)),"",COUNT($CZ$4:CZ64))</f>
        <v/>
      </c>
      <c r="CX64" s="7" t="e">
        <f t="shared" si="66"/>
        <v>#VALUE!</v>
      </c>
      <c r="CY64" s="1" t="str">
        <f t="shared" si="67"/>
        <v/>
      </c>
      <c r="CZ64" s="79" t="e">
        <f>IF(IF(COUNTIF($CZ$4:CZ63,CZ59)&gt;=MAX($D$4:$D$8),CZ59+5,CZ59)&gt;55,"",IF(COUNTIF($CZ$4:CZ63,CZ59)&gt;=MAX($D$4:$D$8),CZ59+5,CZ59))</f>
        <v>#VALUE!</v>
      </c>
      <c r="DA64" s="1" t="e">
        <f t="shared" si="40"/>
        <v>#VALUE!</v>
      </c>
      <c r="DB64" s="8" t="str">
        <f t="shared" si="68"/>
        <v/>
      </c>
    </row>
    <row r="65" spans="5:106" x14ac:dyDescent="0.15">
      <c r="E65" s="1">
        <v>62</v>
      </c>
      <c r="F65" s="1">
        <f t="shared" si="42"/>
        <v>1</v>
      </c>
      <c r="G65" s="1">
        <f t="shared" si="60"/>
        <v>1</v>
      </c>
      <c r="H65" s="1">
        <f t="shared" si="45"/>
        <v>1</v>
      </c>
      <c r="I65" s="1">
        <f t="shared" si="50"/>
        <v>1</v>
      </c>
      <c r="J65" s="1">
        <f t="shared" si="55"/>
        <v>1</v>
      </c>
      <c r="L65" s="1" t="str">
        <f>IF(ISERROR(HLOOKUP($C$10,$F$3:$J$253,63,0)),"",HLOOKUP($C$10,$F$3:$J$253,63,0))</f>
        <v/>
      </c>
      <c r="W65" s="71" t="e">
        <f>IF(AA65="","",AA65*10+2)</f>
        <v>#VALUE!</v>
      </c>
      <c r="X65" s="71" t="str">
        <f>IF(OR(COUNTBLANK(AA65)=1,ISERROR(AA65)),"",COUNT(AA4:AA65))</f>
        <v/>
      </c>
      <c r="Y65" s="7" t="e">
        <f t="shared" si="0"/>
        <v>#VALUE!</v>
      </c>
      <c r="Z65" s="1" t="str">
        <f t="shared" si="17"/>
        <v/>
      </c>
      <c r="AA65" s="79" t="e">
        <f>IF(IF(COUNTIF(AA4:AA64,AA64)&gt;=MAX(D4:D8),AA64+1,AA64)&gt;50,"",IF(COUNTIF(AA4:AA64,AA64)&gt;=MAX(D4:D8),AA64+1,AA64))</f>
        <v>#VALUE!</v>
      </c>
      <c r="AB65" s="1" t="e">
        <f>IF(AA65="","",VLOOKUP(AA65,S4:U53,3,0))</f>
        <v>#VALUE!</v>
      </c>
      <c r="AC65" s="8" t="str">
        <f t="shared" si="1"/>
        <v/>
      </c>
      <c r="AE65" s="71" t="e">
        <f t="shared" si="2"/>
        <v>#VALUE!</v>
      </c>
      <c r="AF65" s="71" t="str">
        <f>IF(OR(COUNTBLANK(AI65)=1,ISERROR(AI65)),"",COUNT(AI4:AI65))</f>
        <v/>
      </c>
      <c r="AG65" s="7" t="e">
        <f t="shared" si="3"/>
        <v>#VALUE!</v>
      </c>
      <c r="AH65" s="1" t="str">
        <f>IF(ISERROR(INDEX(C4:C8,MATCH(G65,D4:D8,0))),"",INDEX(C4:C8,MATCH(G65,D4:D8,0)))</f>
        <v/>
      </c>
      <c r="AI65" s="79" t="e">
        <f>IF(IF(COUNTIF(AI4:AI63,AI63)&gt;=MAX(D4:D8),AI63+2,AI63)&gt;50,"",IF(COUNTIF(AI4:AI63,AI63)&gt;=MAX(D4:D8),AI63+2,AI63))</f>
        <v>#VALUE!</v>
      </c>
      <c r="AJ65" s="1" t="e">
        <f>IF(AI65="","",VLOOKUP(AI65,S4:U53,3,0))</f>
        <v>#VALUE!</v>
      </c>
      <c r="AK65" s="8" t="str">
        <f t="shared" si="4"/>
        <v/>
      </c>
      <c r="AM65" s="71" t="e">
        <f t="shared" si="5"/>
        <v>#VALUE!</v>
      </c>
      <c r="AN65" s="71" t="str">
        <f>IF(OR(COUNTBLANK(AQ65)=1,ISERROR(AQ65)),"",COUNT(AQ4:AQ65))</f>
        <v/>
      </c>
      <c r="AO65" s="7" t="e">
        <f t="shared" si="6"/>
        <v>#VALUE!</v>
      </c>
      <c r="AP65" s="1" t="str">
        <f>IF(ISERROR(INDEX(C4:C8,MATCH(H65,D4:D8,0))),"",INDEX(C4:C8,MATCH(H65,D4:D8,0)))</f>
        <v/>
      </c>
      <c r="AQ65" s="79" t="e">
        <f>IF(IF(COUNTIF(AQ4:AQ64,AQ62)&gt;=MAX(D4:D8),AQ62+3,AQ62)&gt;50,"",IF(COUNTIF(AQ4:AQ64,AQ62)&gt;=MAX(D4:D8),AQ62+3,AQ62))</f>
        <v>#VALUE!</v>
      </c>
      <c r="AR65" s="1" t="e">
        <f>IF(AQ65="","",VLOOKUP(AQ65,S4:U53,3,0))</f>
        <v>#VALUE!</v>
      </c>
      <c r="AS65" s="8" t="str">
        <f t="shared" si="7"/>
        <v/>
      </c>
      <c r="AU65" s="71" t="e">
        <f t="shared" si="8"/>
        <v>#VALUE!</v>
      </c>
      <c r="AV65" s="71" t="str">
        <f>IF(OR(COUNTBLANK(AY65)=1,ISERROR(AY65)),"",COUNT(AY4:AY65))</f>
        <v/>
      </c>
      <c r="AW65" s="7" t="e">
        <f t="shared" si="9"/>
        <v>#VALUE!</v>
      </c>
      <c r="AX65" s="1" t="str">
        <f>IF(ISERROR(INDEX(C4:C8,MATCH(I65,D4:D8,0))),"",INDEX(C4:C8,MATCH(I65,D4:D8,0)))</f>
        <v/>
      </c>
      <c r="AY65" s="79" t="e">
        <f>IF(IF(COUNTIF(AY4:AY64,AY61)&gt;=MAX(D4:D8),AY61+4,AY61)&gt;50,"",IF(COUNTIF(AY4:AY64,AY61)&gt;=MAX(D4:D8),AY61+4,AY61))</f>
        <v>#VALUE!</v>
      </c>
      <c r="AZ65" s="76" t="e">
        <f>IF(AY65="","",VLOOKUP(AY65,S4:U53,3,0))</f>
        <v>#VALUE!</v>
      </c>
      <c r="BA65" s="8" t="str">
        <f t="shared" si="10"/>
        <v/>
      </c>
      <c r="BC65" s="71" t="e">
        <f t="shared" si="11"/>
        <v>#VALUE!</v>
      </c>
      <c r="BD65" s="71" t="str">
        <f>IF(OR(COUNTBLANK(BG65)=1,ISERROR(BG65)),"",COUNT(BG4:BG65))</f>
        <v/>
      </c>
      <c r="BE65" s="7" t="e">
        <f t="shared" si="12"/>
        <v>#VALUE!</v>
      </c>
      <c r="BF65" s="1" t="str">
        <f>IF(ISERROR(INDEX(C4:C8,MATCH(J65,D4:D8,0))),"",INDEX(C4:C8,MATCH(J65,D4:D8,0)))</f>
        <v/>
      </c>
      <c r="BG65" s="79" t="e">
        <f>IF(IF(COUNTIF(BG4:BG64,BG60)&gt;=MAX(D4:D8),BG60+5,BG60)&gt;50,"",IF(COUNTIF(BG4:BG64,BG60)&gt;=MAX(D4:D8),BG60+5,BG60))</f>
        <v>#VALUE!</v>
      </c>
      <c r="BH65" s="76" t="e">
        <f>IF(BG65="","",VLOOKUP(BG65,S4:U53,3,0))</f>
        <v>#VALUE!</v>
      </c>
      <c r="BI65" s="8" t="str">
        <f t="shared" si="13"/>
        <v/>
      </c>
      <c r="BP65" s="71" t="e">
        <f>IF(BT65="","",BT65*10+2)</f>
        <v>#VALUE!</v>
      </c>
      <c r="BQ65" s="71" t="str">
        <f>IF(OR(COUNTBLANK(BT65)=1,ISERROR(BT65)),"",COUNT(BT4:BT65))</f>
        <v/>
      </c>
      <c r="BR65" s="7" t="e">
        <f t="shared" si="18"/>
        <v>#VALUE!</v>
      </c>
      <c r="BS65" s="1" t="str">
        <f t="shared" si="19"/>
        <v/>
      </c>
      <c r="BT65" s="79" t="e">
        <f>IF(IF(COUNTIF($BT$4:BT64,BT64)&gt;=MAX($D$4:$D$8),BT64+1,BT64)&gt;55,"",IF(COUNTIF($BT$4:BT64,BT64)&gt;=MAX($D$4:$D$8),BT64+1,BT64))</f>
        <v>#VALUE!</v>
      </c>
      <c r="BU65" s="1" t="e">
        <f t="shared" si="20"/>
        <v>#VALUE!</v>
      </c>
      <c r="BV65" s="8" t="str">
        <f t="shared" si="21"/>
        <v/>
      </c>
      <c r="BX65" s="71" t="e">
        <f t="shared" si="22"/>
        <v>#VALUE!</v>
      </c>
      <c r="BY65" s="71" t="str">
        <f>IF(OR(COUNTBLANK(CB65)=1,ISERROR(CB65)),"",COUNT($CB$4:CB65))</f>
        <v/>
      </c>
      <c r="BZ65" s="7" t="e">
        <f t="shared" si="23"/>
        <v>#VALUE!</v>
      </c>
      <c r="CA65" s="1" t="str">
        <f t="shared" si="24"/>
        <v/>
      </c>
      <c r="CB65" s="79" t="e">
        <f>IF(IF(COUNTIF($CB$4:CB64,CB63)&gt;=MAX($D$4:$D$8),CB63+2,CB63)&gt;55,"",IF(COUNTIF($CB$4:CB64,CB63)&gt;=MAX($D$4:$D$8),CB63+2,CB63))</f>
        <v>#VALUE!</v>
      </c>
      <c r="CC65" s="1" t="e">
        <f t="shared" si="25"/>
        <v>#VALUE!</v>
      </c>
      <c r="CD65" s="8" t="str">
        <f t="shared" si="26"/>
        <v/>
      </c>
      <c r="CF65" s="71" t="e">
        <f t="shared" si="61"/>
        <v>#VALUE!</v>
      </c>
      <c r="CG65" s="71" t="str">
        <f>IF(OR(COUNTBLANK(CJ65)=1,ISERROR(CJ65)),"",COUNT($CJ$4:CJ65))</f>
        <v/>
      </c>
      <c r="CH65" s="7" t="e">
        <f t="shared" si="62"/>
        <v>#VALUE!</v>
      </c>
      <c r="CI65" s="1" t="str">
        <f t="shared" si="63"/>
        <v/>
      </c>
      <c r="CJ65" s="79" t="e">
        <f>IF(IF(COUNTIF($CJ$4:CJ64,CJ62)&gt;=MAX($D$4:$D$8),CJ62+3,CJ62)&gt;55,"",IF(COUNTIF($CJ$4:CJ64,CJ62)&gt;=MAX($D$4:$D$8),CJ62+3,CJ62))</f>
        <v>#VALUE!</v>
      </c>
      <c r="CK65" s="1" t="e">
        <f t="shared" si="30"/>
        <v>#VALUE!</v>
      </c>
      <c r="CL65" s="8" t="str">
        <f t="shared" si="64"/>
        <v/>
      </c>
      <c r="CN65" s="71" t="e">
        <f t="shared" si="51"/>
        <v>#VALUE!</v>
      </c>
      <c r="CO65" s="71" t="str">
        <f>IF(OR(COUNTBLANK(CR65)=1,ISERROR(CR65)),"",COUNT($CR$4:CR65))</f>
        <v/>
      </c>
      <c r="CP65" s="7" t="e">
        <f t="shared" si="52"/>
        <v>#VALUE!</v>
      </c>
      <c r="CQ65" s="1" t="str">
        <f t="shared" si="53"/>
        <v/>
      </c>
      <c r="CR65" s="79" t="e">
        <f>IF(IF(COUNTIF($CR$4:CR64,CR61)&gt;=MAX($D$4:$D$8),CR61+4,CR61)&gt;55,"",IF(COUNTIF($CR$4:CR64,CR61)&gt;=MAX($D$4:$D$8),CR61+4,CR61))</f>
        <v>#VALUE!</v>
      </c>
      <c r="CS65" s="1" t="e">
        <f t="shared" si="35"/>
        <v>#VALUE!</v>
      </c>
      <c r="CT65" s="8" t="str">
        <f t="shared" si="54"/>
        <v/>
      </c>
      <c r="CV65" s="71" t="e">
        <f t="shared" si="65"/>
        <v>#VALUE!</v>
      </c>
      <c r="CW65" s="71" t="str">
        <f>IF(OR(COUNTBLANK(CZ65)=1,ISERROR(CZ65)),"",COUNT($CZ$4:CZ65))</f>
        <v/>
      </c>
      <c r="CX65" s="7" t="e">
        <f t="shared" si="66"/>
        <v>#VALUE!</v>
      </c>
      <c r="CY65" s="1" t="str">
        <f t="shared" si="67"/>
        <v/>
      </c>
      <c r="CZ65" s="79" t="e">
        <f>IF(IF(COUNTIF($CZ$4:CZ64,CZ60)&gt;=MAX($D$4:$D$8),CZ60+5,CZ60)&gt;55,"",IF(COUNTIF($CZ$4:CZ64,CZ60)&gt;=MAX($D$4:$D$8),CZ60+5,CZ60))</f>
        <v>#VALUE!</v>
      </c>
      <c r="DA65" s="1" t="e">
        <f t="shared" si="40"/>
        <v>#VALUE!</v>
      </c>
      <c r="DB65" s="8" t="str">
        <f t="shared" si="68"/>
        <v/>
      </c>
    </row>
    <row r="66" spans="5:106" x14ac:dyDescent="0.15">
      <c r="E66" s="1">
        <v>63</v>
      </c>
      <c r="F66" s="1">
        <f t="shared" si="42"/>
        <v>1</v>
      </c>
      <c r="G66" s="1">
        <f t="shared" si="60"/>
        <v>1</v>
      </c>
      <c r="H66" s="1">
        <f t="shared" si="45"/>
        <v>1</v>
      </c>
      <c r="I66" s="1">
        <f t="shared" si="50"/>
        <v>1</v>
      </c>
      <c r="J66" s="1">
        <f t="shared" si="55"/>
        <v>1</v>
      </c>
      <c r="L66" s="1" t="str">
        <f>IF(ISERROR(HLOOKUP($C$10,$F$3:$J$253,64,0)),"",HLOOKUP($C$10,$F$3:$J$253,64,0))</f>
        <v/>
      </c>
      <c r="W66" s="71" t="e">
        <f>IF(AA66="","",AA66*10+3)</f>
        <v>#VALUE!</v>
      </c>
      <c r="X66" s="71" t="str">
        <f>IF(OR(COUNTBLANK(AA66)=1,ISERROR(AA66)),"",COUNT(AA4:AA66))</f>
        <v/>
      </c>
      <c r="Y66" s="7" t="e">
        <f t="shared" si="0"/>
        <v>#VALUE!</v>
      </c>
      <c r="Z66" s="1" t="str">
        <f t="shared" si="17"/>
        <v/>
      </c>
      <c r="AA66" s="79" t="e">
        <f>IF(IF(COUNTIF(AA4:AA65,AA65)&gt;=MAX(D4:D8),AA65+1,AA65)&gt;50,"",IF(COUNTIF(AA4:AA65,AA65)&gt;=MAX(D4:D8),AA65+1,AA65))</f>
        <v>#VALUE!</v>
      </c>
      <c r="AB66" s="1" t="e">
        <f>IF(AA66="","",VLOOKUP(AA66,S4:U53,3,0))</f>
        <v>#VALUE!</v>
      </c>
      <c r="AC66" s="8" t="str">
        <f t="shared" si="1"/>
        <v/>
      </c>
      <c r="AE66" s="71" t="e">
        <f t="shared" si="2"/>
        <v>#VALUE!</v>
      </c>
      <c r="AF66" s="71" t="str">
        <f>IF(OR(COUNTBLANK(AI66)=1,ISERROR(AI66)),"",COUNT(AI4:AI66))</f>
        <v/>
      </c>
      <c r="AG66" s="7" t="e">
        <f t="shared" si="3"/>
        <v>#VALUE!</v>
      </c>
      <c r="AH66" s="1" t="str">
        <f>IF(ISERROR(INDEX(C4:C8,MATCH(G66,D4:D8,0))),"",INDEX(C4:C8,MATCH(G66,D4:D8,0)))</f>
        <v/>
      </c>
      <c r="AI66" s="79" t="e">
        <f>IF(IF(COUNTIF(AI4:AI65,AI64)&gt;=MAX(D4:D8),AI64+2,AI64)&gt;50,"",IF(COUNTIF(AI4:AI65,AI64)&gt;=MAX(D4:D8),AI64+2,AI64))</f>
        <v>#VALUE!</v>
      </c>
      <c r="AJ66" s="1" t="e">
        <f>IF(AI66="","",VLOOKUP(AI66,S4:U53,3,0))</f>
        <v>#VALUE!</v>
      </c>
      <c r="AK66" s="8" t="str">
        <f t="shared" si="4"/>
        <v/>
      </c>
      <c r="AM66" s="71" t="e">
        <f t="shared" si="5"/>
        <v>#VALUE!</v>
      </c>
      <c r="AN66" s="71" t="str">
        <f>IF(OR(COUNTBLANK(AQ66)=1,ISERROR(AQ66)),"",COUNT(AQ4:AQ66))</f>
        <v/>
      </c>
      <c r="AO66" s="7" t="e">
        <f t="shared" si="6"/>
        <v>#VALUE!</v>
      </c>
      <c r="AP66" s="1" t="str">
        <f>IF(ISERROR(INDEX(C4:C8,MATCH(H66,D4:D8,0))),"",INDEX(C4:C8,MATCH(H66,D4:D8,0)))</f>
        <v/>
      </c>
      <c r="AQ66" s="79" t="e">
        <f>IF(IF(COUNTIF(AQ4:AQ65,AQ63)&gt;=MAX(D4:D8),AQ63+3,AQ63)&gt;50,"",IF(COUNTIF(AQ4:AQ65,AQ63)&gt;=MAX(D4:D8),AQ63+3,AQ63))</f>
        <v>#VALUE!</v>
      </c>
      <c r="AR66" s="1" t="e">
        <f>IF(AQ66="","",VLOOKUP(AQ66,S4:U53,3,0))</f>
        <v>#VALUE!</v>
      </c>
      <c r="AS66" s="8" t="str">
        <f t="shared" si="7"/>
        <v/>
      </c>
      <c r="AU66" s="71" t="e">
        <f t="shared" si="8"/>
        <v>#VALUE!</v>
      </c>
      <c r="AV66" s="71" t="str">
        <f>IF(OR(COUNTBLANK(AY66)=1,ISERROR(AY66)),"",COUNT(AY4:AY66))</f>
        <v/>
      </c>
      <c r="AW66" s="7" t="e">
        <f t="shared" si="9"/>
        <v>#VALUE!</v>
      </c>
      <c r="AX66" s="1" t="str">
        <f>IF(ISERROR(INDEX(C4:C8,MATCH(I66,D4:D8,0))),"",INDEX(C4:C8,MATCH(I66,D4:D8,0)))</f>
        <v/>
      </c>
      <c r="AY66" s="79" t="e">
        <f>IF(IF(COUNTIF(AY4:AY65,AY62)&gt;=MAX(D4:D8),AY62+4,AY62)&gt;50,"",IF(COUNTIF(AY4:AY65,AY62)&gt;=MAX(D4:D8),AY62+4,AY62))</f>
        <v>#VALUE!</v>
      </c>
      <c r="AZ66" s="76" t="e">
        <f>IF(AY66="","",VLOOKUP(AY66,S4:U53,3,0))</f>
        <v>#VALUE!</v>
      </c>
      <c r="BA66" s="8" t="str">
        <f t="shared" si="10"/>
        <v/>
      </c>
      <c r="BC66" s="71" t="e">
        <f t="shared" si="11"/>
        <v>#VALUE!</v>
      </c>
      <c r="BD66" s="71" t="str">
        <f>IF(OR(COUNTBLANK(BG66)=1,ISERROR(BG66)),"",COUNT(BG4:BG66))</f>
        <v/>
      </c>
      <c r="BE66" s="7" t="e">
        <f t="shared" si="12"/>
        <v>#VALUE!</v>
      </c>
      <c r="BF66" s="1" t="str">
        <f>IF(ISERROR(INDEX(C4:C8,MATCH(J66,D4:D8,0))),"",INDEX(C4:C8,MATCH(J66,D4:D8,0)))</f>
        <v/>
      </c>
      <c r="BG66" s="79" t="e">
        <f>IF(IF(COUNTIF(BG4:BG65,BG61)&gt;=MAX(D4:D8),BG61+5,BG61)&gt;50,"",IF(COUNTIF(BG4:BG65,BG61)&gt;=MAX(D4:D8),BG61+5,BG61))</f>
        <v>#VALUE!</v>
      </c>
      <c r="BH66" s="76" t="e">
        <f>IF(BG66="","",VLOOKUP(BG66,S4:U53,3,0))</f>
        <v>#VALUE!</v>
      </c>
      <c r="BI66" s="8" t="str">
        <f t="shared" si="13"/>
        <v/>
      </c>
      <c r="BP66" s="71" t="e">
        <f>IF(BT66="","",BT66*10+3)</f>
        <v>#VALUE!</v>
      </c>
      <c r="BQ66" s="71" t="str">
        <f>IF(OR(COUNTBLANK(BT66)=1,ISERROR(BT66)),"",COUNT(BT4:BT66))</f>
        <v/>
      </c>
      <c r="BR66" s="7" t="e">
        <f t="shared" si="18"/>
        <v>#VALUE!</v>
      </c>
      <c r="BS66" s="1" t="str">
        <f t="shared" si="19"/>
        <v/>
      </c>
      <c r="BT66" s="79" t="e">
        <f>IF(IF(COUNTIF($BT$4:BT65,BT65)&gt;=MAX($D$4:$D$8),BT65+1,BT65)&gt;55,"",IF(COUNTIF($BT$4:BT65,BT65)&gt;=MAX($D$4:$D$8),BT65+1,BT65))</f>
        <v>#VALUE!</v>
      </c>
      <c r="BU66" s="1" t="e">
        <f t="shared" si="20"/>
        <v>#VALUE!</v>
      </c>
      <c r="BV66" s="8" t="str">
        <f t="shared" si="21"/>
        <v/>
      </c>
      <c r="BX66" s="71" t="e">
        <f t="shared" si="22"/>
        <v>#VALUE!</v>
      </c>
      <c r="BY66" s="71" t="str">
        <f>IF(OR(COUNTBLANK(CB66)=1,ISERROR(CB66)),"",COUNT($CB$4:CB66))</f>
        <v/>
      </c>
      <c r="BZ66" s="7" t="e">
        <f t="shared" si="23"/>
        <v>#VALUE!</v>
      </c>
      <c r="CA66" s="1" t="str">
        <f t="shared" si="24"/>
        <v/>
      </c>
      <c r="CB66" s="79" t="e">
        <f>IF(IF(COUNTIF($CB$4:CB65,CB64)&gt;=MAX($D$4:$D$8),CB64+2,CB64)&gt;55,"",IF(COUNTIF($CB$4:CB65,CB64)&gt;=MAX($D$4:$D$8),CB64+2,CB64))</f>
        <v>#VALUE!</v>
      </c>
      <c r="CC66" s="1" t="e">
        <f t="shared" si="25"/>
        <v>#VALUE!</v>
      </c>
      <c r="CD66" s="8" t="str">
        <f t="shared" si="26"/>
        <v/>
      </c>
      <c r="CF66" s="71" t="e">
        <f t="shared" si="61"/>
        <v>#VALUE!</v>
      </c>
      <c r="CG66" s="71" t="str">
        <f>IF(OR(COUNTBLANK(CJ66)=1,ISERROR(CJ66)),"",COUNT($CJ$4:CJ66))</f>
        <v/>
      </c>
      <c r="CH66" s="7" t="e">
        <f t="shared" si="62"/>
        <v>#VALUE!</v>
      </c>
      <c r="CI66" s="1" t="str">
        <f t="shared" si="63"/>
        <v/>
      </c>
      <c r="CJ66" s="79" t="e">
        <f>IF(IF(COUNTIF($CJ$4:CJ65,CJ63)&gt;=MAX($D$4:$D$8),CJ63+3,CJ63)&gt;55,"",IF(COUNTIF($CJ$4:CJ65,CJ63)&gt;=MAX($D$4:$D$8),CJ63+3,CJ63))</f>
        <v>#VALUE!</v>
      </c>
      <c r="CK66" s="1" t="e">
        <f t="shared" si="30"/>
        <v>#VALUE!</v>
      </c>
      <c r="CL66" s="8" t="str">
        <f t="shared" si="64"/>
        <v/>
      </c>
      <c r="CN66" s="71" t="e">
        <f t="shared" si="51"/>
        <v>#VALUE!</v>
      </c>
      <c r="CO66" s="71" t="str">
        <f>IF(OR(COUNTBLANK(CR66)=1,ISERROR(CR66)),"",COUNT($CR$4:CR66))</f>
        <v/>
      </c>
      <c r="CP66" s="7" t="e">
        <f t="shared" si="52"/>
        <v>#VALUE!</v>
      </c>
      <c r="CQ66" s="1" t="str">
        <f t="shared" si="53"/>
        <v/>
      </c>
      <c r="CR66" s="79" t="e">
        <f>IF(IF(COUNTIF($CR$4:CR65,CR62)&gt;=MAX($D$4:$D$8),CR62+4,CR62)&gt;55,"",IF(COUNTIF($CR$4:CR65,CR62)&gt;=MAX($D$4:$D$8),CR62+4,CR62))</f>
        <v>#VALUE!</v>
      </c>
      <c r="CS66" s="1" t="e">
        <f t="shared" si="35"/>
        <v>#VALUE!</v>
      </c>
      <c r="CT66" s="8" t="str">
        <f t="shared" si="54"/>
        <v/>
      </c>
      <c r="CV66" s="71" t="e">
        <f t="shared" si="65"/>
        <v>#VALUE!</v>
      </c>
      <c r="CW66" s="71" t="str">
        <f>IF(OR(COUNTBLANK(CZ66)=1,ISERROR(CZ66)),"",COUNT($CZ$4:CZ66))</f>
        <v/>
      </c>
      <c r="CX66" s="7" t="e">
        <f t="shared" si="66"/>
        <v>#VALUE!</v>
      </c>
      <c r="CY66" s="1" t="str">
        <f t="shared" si="67"/>
        <v/>
      </c>
      <c r="CZ66" s="79" t="e">
        <f>IF(IF(COUNTIF($CZ$4:CZ65,CZ61)&gt;=MAX($D$4:$D$8),CZ61+5,CZ61)&gt;55,"",IF(COUNTIF($CZ$4:CZ65,CZ61)&gt;=MAX($D$4:$D$8),CZ61+5,CZ61))</f>
        <v>#VALUE!</v>
      </c>
      <c r="DA66" s="1" t="e">
        <f t="shared" si="40"/>
        <v>#VALUE!</v>
      </c>
      <c r="DB66" s="8" t="str">
        <f t="shared" si="68"/>
        <v/>
      </c>
    </row>
    <row r="67" spans="5:106" x14ac:dyDescent="0.15">
      <c r="E67" s="1">
        <v>64</v>
      </c>
      <c r="F67" s="1">
        <f t="shared" si="42"/>
        <v>1</v>
      </c>
      <c r="G67" s="1">
        <f t="shared" si="60"/>
        <v>1</v>
      </c>
      <c r="H67" s="1">
        <f t="shared" si="45"/>
        <v>1</v>
      </c>
      <c r="I67" s="1">
        <f t="shared" si="50"/>
        <v>1</v>
      </c>
      <c r="J67" s="1">
        <f t="shared" si="55"/>
        <v>1</v>
      </c>
      <c r="L67" s="1" t="str">
        <f>IF(ISERROR(HLOOKUP($C$10,$F$3:$J$253,65,0)),"",HLOOKUP($C$10,$F$3:$J$253,65,0))</f>
        <v/>
      </c>
      <c r="W67" s="71" t="e">
        <f>IF(AA67="","",AA67*10+4)</f>
        <v>#VALUE!</v>
      </c>
      <c r="X67" s="71" t="str">
        <f>IF(OR(COUNTBLANK(AA67)=1,ISERROR(AA67)),"",COUNT(AA4:AA67))</f>
        <v/>
      </c>
      <c r="Y67" s="7" t="e">
        <f t="shared" si="0"/>
        <v>#VALUE!</v>
      </c>
      <c r="Z67" s="1" t="str">
        <f t="shared" si="17"/>
        <v/>
      </c>
      <c r="AA67" s="79" t="e">
        <f>IF(IF(COUNTIF(AA4:AA66,AA66)&gt;=MAX(D4:D8),AA66+1,AA66)&gt;50,"",IF(COUNTIF(AA4:AA66,AA66)&gt;=MAX(D4:D8),AA66+1,AA66))</f>
        <v>#VALUE!</v>
      </c>
      <c r="AB67" s="1" t="e">
        <f>IF(AA67="","",VLOOKUP(AA67,S4:U53,3,0))</f>
        <v>#VALUE!</v>
      </c>
      <c r="AC67" s="8" t="str">
        <f t="shared" si="1"/>
        <v/>
      </c>
      <c r="AE67" s="71" t="e">
        <f t="shared" si="2"/>
        <v>#VALUE!</v>
      </c>
      <c r="AF67" s="71" t="str">
        <f>IF(OR(COUNTBLANK(AI67)=1,ISERROR(AI67)),"",COUNT(AI4:AI67))</f>
        <v/>
      </c>
      <c r="AG67" s="7" t="e">
        <f t="shared" si="3"/>
        <v>#VALUE!</v>
      </c>
      <c r="AH67" s="1" t="str">
        <f>IF(ISERROR(INDEX(C4:C8,MATCH(G67,D4:D8,0))),"",INDEX(C4:C8,MATCH(G67,D4:D8,0)))</f>
        <v/>
      </c>
      <c r="AI67" s="79" t="e">
        <f>IF(IF(COUNTIF(AI4:AI65,AI65)&gt;=MAX(D4:D8),AI65+2,AI65)&gt;50,"",IF(COUNTIF(AI4:AI65,AI65)&gt;=MAX(D4:D8),AI65+2,AI65))</f>
        <v>#VALUE!</v>
      </c>
      <c r="AJ67" s="1" t="e">
        <f>IF(AI67="","",VLOOKUP(AI67,S4:U53,3,0))</f>
        <v>#VALUE!</v>
      </c>
      <c r="AK67" s="8" t="str">
        <f t="shared" si="4"/>
        <v/>
      </c>
      <c r="AM67" s="71" t="e">
        <f t="shared" si="5"/>
        <v>#VALUE!</v>
      </c>
      <c r="AN67" s="71" t="str">
        <f>IF(OR(COUNTBLANK(AQ67)=1,ISERROR(AQ67)),"",COUNT(AQ4:AQ67))</f>
        <v/>
      </c>
      <c r="AO67" s="7" t="e">
        <f t="shared" si="6"/>
        <v>#VALUE!</v>
      </c>
      <c r="AP67" s="1" t="str">
        <f>IF(ISERROR(INDEX(C4:C8,MATCH(H67,D4:D8,0))),"",INDEX(C4:C8,MATCH(H67,D4:D8,0)))</f>
        <v/>
      </c>
      <c r="AQ67" s="79" t="e">
        <f>IF(IF(COUNTIF(AQ4:AQ66,AQ64)&gt;=MAX(D4:D8),AQ64+3,AQ64)&gt;50,"",IF(COUNTIF(AQ4:AQ66,AQ64)&gt;=MAX(D4:D8),AQ64+3,AQ64))</f>
        <v>#VALUE!</v>
      </c>
      <c r="AR67" s="1" t="e">
        <f>IF(AQ67="","",VLOOKUP(AQ67,S4:U53,3,0))</f>
        <v>#VALUE!</v>
      </c>
      <c r="AS67" s="8" t="str">
        <f t="shared" si="7"/>
        <v/>
      </c>
      <c r="AU67" s="71" t="e">
        <f t="shared" si="8"/>
        <v>#VALUE!</v>
      </c>
      <c r="AV67" s="71" t="str">
        <f>IF(OR(COUNTBLANK(AY67)=1,ISERROR(AY67)),"",COUNT(AY4:AY67))</f>
        <v/>
      </c>
      <c r="AW67" s="7" t="e">
        <f t="shared" si="9"/>
        <v>#VALUE!</v>
      </c>
      <c r="AX67" s="1" t="str">
        <f>IF(ISERROR(INDEX(C4:C8,MATCH(I67,D4:D8,0))),"",INDEX(C4:C8,MATCH(I67,D4:D8,0)))</f>
        <v/>
      </c>
      <c r="AY67" s="79" t="e">
        <f>IF(IF(COUNTIF(AY4:AY66,AY63)&gt;=MAX(D4:D8),AY63+4,AY63)&gt;50,"",IF(COUNTIF(AY4:AY66,AY63)&gt;=MAX(D4:D8),AY63+4,AY63))</f>
        <v>#VALUE!</v>
      </c>
      <c r="AZ67" s="76" t="e">
        <f>IF(AY67="","",VLOOKUP(AY67,S4:U53,3,0))</f>
        <v>#VALUE!</v>
      </c>
      <c r="BA67" s="8" t="str">
        <f t="shared" si="10"/>
        <v/>
      </c>
      <c r="BC67" s="71" t="e">
        <f t="shared" si="11"/>
        <v>#VALUE!</v>
      </c>
      <c r="BD67" s="71" t="str">
        <f>IF(OR(COUNTBLANK(BG67)=1,ISERROR(BG67)),"",COUNT(BG4:BG67))</f>
        <v/>
      </c>
      <c r="BE67" s="7" t="e">
        <f t="shared" si="12"/>
        <v>#VALUE!</v>
      </c>
      <c r="BF67" s="1" t="str">
        <f>IF(ISERROR(INDEX(C4:C8,MATCH(J67,D4:D8,0))),"",INDEX(C4:C8,MATCH(J67,D4:D8,0)))</f>
        <v/>
      </c>
      <c r="BG67" s="79" t="e">
        <f>IF(IF(COUNTIF(BG4:BG66,BG62)&gt;=MAX(D4:D8),BG62+5,BG62)&gt;50,"",IF(COUNTIF(BG4:BG66,BG62)&gt;=MAX(D4:D8),BG62+5,BG62))</f>
        <v>#VALUE!</v>
      </c>
      <c r="BH67" s="76" t="e">
        <f>IF(BG67="","",VLOOKUP(BG67,S4:U53,3,0))</f>
        <v>#VALUE!</v>
      </c>
      <c r="BI67" s="8" t="str">
        <f t="shared" si="13"/>
        <v/>
      </c>
      <c r="BP67" s="71" t="e">
        <f>IF(BT67="","",BT67*10+4)</f>
        <v>#VALUE!</v>
      </c>
      <c r="BQ67" s="71" t="str">
        <f>IF(OR(COUNTBLANK(BT67)=1,ISERROR(BT67)),"",COUNT(BT4:BT67))</f>
        <v/>
      </c>
      <c r="BR67" s="7" t="e">
        <f t="shared" si="18"/>
        <v>#VALUE!</v>
      </c>
      <c r="BS67" s="1" t="str">
        <f t="shared" si="19"/>
        <v/>
      </c>
      <c r="BT67" s="79" t="e">
        <f>IF(IF(COUNTIF($BT$4:BT66,BT66)&gt;=MAX($D$4:$D$8),BT66+1,BT66)&gt;55,"",IF(COUNTIF($BT$4:BT66,BT66)&gt;=MAX($D$4:$D$8),BT66+1,BT66))</f>
        <v>#VALUE!</v>
      </c>
      <c r="BU67" s="1" t="e">
        <f t="shared" si="20"/>
        <v>#VALUE!</v>
      </c>
      <c r="BV67" s="8" t="str">
        <f t="shared" si="21"/>
        <v/>
      </c>
      <c r="BX67" s="71" t="e">
        <f t="shared" si="22"/>
        <v>#VALUE!</v>
      </c>
      <c r="BY67" s="71" t="str">
        <f>IF(OR(COUNTBLANK(CB67)=1,ISERROR(CB67)),"",COUNT($CB$4:CB67))</f>
        <v/>
      </c>
      <c r="BZ67" s="7" t="e">
        <f t="shared" si="23"/>
        <v>#VALUE!</v>
      </c>
      <c r="CA67" s="1" t="str">
        <f t="shared" si="24"/>
        <v/>
      </c>
      <c r="CB67" s="79" t="e">
        <f>IF(IF(COUNTIF($CB$4:CB66,CB65)&gt;=MAX($D$4:$D$8),CB65+2,CB65)&gt;55,"",IF(COUNTIF($CB$4:CB66,CB65)&gt;=MAX($D$4:$D$8),CB65+2,CB65))</f>
        <v>#VALUE!</v>
      </c>
      <c r="CC67" s="1" t="e">
        <f t="shared" si="25"/>
        <v>#VALUE!</v>
      </c>
      <c r="CD67" s="8" t="str">
        <f t="shared" si="26"/>
        <v/>
      </c>
      <c r="CF67" s="71" t="e">
        <f t="shared" si="61"/>
        <v>#VALUE!</v>
      </c>
      <c r="CG67" s="71" t="str">
        <f>IF(OR(COUNTBLANK(CJ67)=1,ISERROR(CJ67)),"",COUNT($CJ$4:CJ67))</f>
        <v/>
      </c>
      <c r="CH67" s="7" t="e">
        <f t="shared" si="62"/>
        <v>#VALUE!</v>
      </c>
      <c r="CI67" s="1" t="str">
        <f t="shared" si="63"/>
        <v/>
      </c>
      <c r="CJ67" s="79" t="e">
        <f>IF(IF(COUNTIF($CJ$4:CJ66,CJ64)&gt;=MAX($D$4:$D$8),CJ64+3,CJ64)&gt;55,"",IF(COUNTIF($CJ$4:CJ66,CJ64)&gt;=MAX($D$4:$D$8),CJ64+3,CJ64))</f>
        <v>#VALUE!</v>
      </c>
      <c r="CK67" s="1" t="e">
        <f t="shared" si="30"/>
        <v>#VALUE!</v>
      </c>
      <c r="CL67" s="8" t="str">
        <f t="shared" si="64"/>
        <v/>
      </c>
      <c r="CN67" s="71" t="e">
        <f t="shared" si="51"/>
        <v>#VALUE!</v>
      </c>
      <c r="CO67" s="71" t="str">
        <f>IF(OR(COUNTBLANK(CR67)=1,ISERROR(CR67)),"",COUNT($CR$4:CR67))</f>
        <v/>
      </c>
      <c r="CP67" s="7" t="e">
        <f t="shared" si="52"/>
        <v>#VALUE!</v>
      </c>
      <c r="CQ67" s="1" t="str">
        <f t="shared" si="53"/>
        <v/>
      </c>
      <c r="CR67" s="79" t="e">
        <f>IF(IF(COUNTIF($CR$4:CR66,CR63)&gt;=MAX($D$4:$D$8),CR63+4,CR63)&gt;55,"",IF(COUNTIF($CR$4:CR66,CR63)&gt;=MAX($D$4:$D$8),CR63+4,CR63))</f>
        <v>#VALUE!</v>
      </c>
      <c r="CS67" s="1" t="e">
        <f t="shared" si="35"/>
        <v>#VALUE!</v>
      </c>
      <c r="CT67" s="8" t="str">
        <f t="shared" si="54"/>
        <v/>
      </c>
      <c r="CV67" s="71" t="e">
        <f t="shared" si="65"/>
        <v>#VALUE!</v>
      </c>
      <c r="CW67" s="71" t="str">
        <f>IF(OR(COUNTBLANK(CZ67)=1,ISERROR(CZ67)),"",COUNT($CZ$4:CZ67))</f>
        <v/>
      </c>
      <c r="CX67" s="7" t="e">
        <f t="shared" si="66"/>
        <v>#VALUE!</v>
      </c>
      <c r="CY67" s="1" t="str">
        <f t="shared" si="67"/>
        <v/>
      </c>
      <c r="CZ67" s="79" t="e">
        <f>IF(IF(COUNTIF($CZ$4:CZ66,CZ62)&gt;=MAX($D$4:$D$8),CZ62+5,CZ62)&gt;55,"",IF(COUNTIF($CZ$4:CZ66,CZ62)&gt;=MAX($D$4:$D$8),CZ62+5,CZ62))</f>
        <v>#VALUE!</v>
      </c>
      <c r="DA67" s="1" t="e">
        <f t="shared" si="40"/>
        <v>#VALUE!</v>
      </c>
      <c r="DB67" s="8" t="str">
        <f t="shared" si="68"/>
        <v/>
      </c>
    </row>
    <row r="68" spans="5:106" x14ac:dyDescent="0.15">
      <c r="E68" s="1">
        <v>65</v>
      </c>
      <c r="F68" s="1">
        <f t="shared" si="42"/>
        <v>1</v>
      </c>
      <c r="G68" s="1">
        <f t="shared" si="60"/>
        <v>1</v>
      </c>
      <c r="H68" s="1">
        <f t="shared" si="45"/>
        <v>1</v>
      </c>
      <c r="I68" s="1">
        <f t="shared" si="50"/>
        <v>1</v>
      </c>
      <c r="J68" s="1">
        <f t="shared" si="55"/>
        <v>1</v>
      </c>
      <c r="L68" s="1" t="str">
        <f>IF(ISERROR(HLOOKUP($C$10,$F$3:$J$253,66,0)),"",HLOOKUP($C$10,$F$3:$J$253,66,0))</f>
        <v/>
      </c>
      <c r="W68" s="71" t="e">
        <f>IF(AA68="","",AA68*10+5)</f>
        <v>#VALUE!</v>
      </c>
      <c r="X68" s="71" t="str">
        <f>IF(OR(COUNTBLANK(AA68)=1,ISERROR(AA68)),"",COUNT(AA4:AA68))</f>
        <v/>
      </c>
      <c r="Y68" s="7" t="e">
        <f t="shared" ref="Y68:Y131" si="69">IF(AA68&gt;20,"ナビ・","1・2年のナビ・")</f>
        <v>#VALUE!</v>
      </c>
      <c r="Z68" s="1" t="str">
        <f t="shared" si="17"/>
        <v/>
      </c>
      <c r="AA68" s="79" t="e">
        <f>IF(IF(COUNTIF(AA4:AA67,AA67)&gt;=MAX(D4:D8),AA67+1,AA67)&gt;50,"",IF(COUNTIF(AA4:AA67,AA67)&gt;=MAX(D4:D8),AA67+1,AA67))</f>
        <v>#VALUE!</v>
      </c>
      <c r="AB68" s="1" t="e">
        <f>IF(AA68="","",VLOOKUP(AA68,S4:U53,3,0))</f>
        <v>#VALUE!</v>
      </c>
      <c r="AC68" s="8" t="str">
        <f t="shared" ref="AC68:AC131" si="70">IF(ISERROR(IF(COUNTIF(Z68:AB68,"")&gt;=1,"",Y68&amp;Z68&amp;"【"&amp;IF(AA68&gt;20,AA68-20,AA68)&amp;"】"&amp;AB68)),"",IF(COUNTIF(Z68:AB68,"")&gt;=1,"",Y68&amp;Z68&amp;"【"&amp;IF(AA68&gt;20,AA68-20,AA68)&amp;"】"&amp;AB68))</f>
        <v/>
      </c>
      <c r="AE68" s="71" t="e">
        <f t="shared" ref="AE68:AE131" si="71">IF(AI68="","",AI68*10+G68)</f>
        <v>#VALUE!</v>
      </c>
      <c r="AF68" s="71" t="str">
        <f>IF(OR(COUNTBLANK(AI68)=1,ISERROR(AI68)),"",COUNT(AI4:AI68))</f>
        <v/>
      </c>
      <c r="AG68" s="7" t="e">
        <f t="shared" ref="AG68:AG131" si="72">IF(AI68&gt;20,"ナビ・","1・2年のナビ・")</f>
        <v>#VALUE!</v>
      </c>
      <c r="AH68" s="1" t="str">
        <f>IF(ISERROR(INDEX(C4:C8,MATCH(G68,D4:D8,0))),"",INDEX(C4:C8,MATCH(G68,D4:D8,0)))</f>
        <v/>
      </c>
      <c r="AI68" s="79" t="e">
        <f>IF(IF(COUNTIF(AI4:AI67,AI66)&gt;=MAX(D4:D8),AI66+2,AI66)&gt;50,"",IF(COUNTIF(AI4:AI67,AI66)&gt;=MAX(D4:D8),AI66+2,AI66))</f>
        <v>#VALUE!</v>
      </c>
      <c r="AJ68" s="1" t="e">
        <f>IF(AI68="","",VLOOKUP(AI68,S4:U53,3,0))</f>
        <v>#VALUE!</v>
      </c>
      <c r="AK68" s="8" t="str">
        <f t="shared" ref="AK68:AK131" si="73">IF(ISERROR(IF(COUNTIF(AH68:AJ68,"")&gt;=1,"",AG68&amp;AH68&amp;"【"&amp;IF(AI68&gt;20,AI68-20,AI68)&amp;"】"&amp;AJ68)),"",IF(COUNTIF(AH68:AJ68,"")&gt;=1,"",AG68&amp;AH68&amp;"【"&amp;IF(AI68&gt;20,AI68-20,AI68)&amp;"】"&amp;AJ68))</f>
        <v/>
      </c>
      <c r="AM68" s="71" t="e">
        <f t="shared" ref="AM68:AM131" si="74">IF(AQ68="","",AQ68*10+H68)</f>
        <v>#VALUE!</v>
      </c>
      <c r="AN68" s="71" t="str">
        <f>IF(OR(COUNTBLANK(AQ68)=1,ISERROR(AQ68)),"",COUNT(AQ4:AQ68))</f>
        <v/>
      </c>
      <c r="AO68" s="7" t="e">
        <f t="shared" ref="AO68:AO131" si="75">IF(AQ68&gt;20,"ナビ・","1・2年のナビ・")</f>
        <v>#VALUE!</v>
      </c>
      <c r="AP68" s="1" t="str">
        <f>IF(ISERROR(INDEX(C4:C8,MATCH(H68,D4:D8,0))),"",INDEX(C4:C8,MATCH(H68,D4:D8,0)))</f>
        <v/>
      </c>
      <c r="AQ68" s="79" t="e">
        <f>IF(IF(COUNTIF(AQ4:AQ67,AQ65)&gt;=MAX(D4:D8),AQ65+3,AQ65)&gt;50,"",IF(COUNTIF(AQ4:AQ67,AQ65)&gt;=MAX(D4:D8),AQ65+3,AQ65))</f>
        <v>#VALUE!</v>
      </c>
      <c r="AR68" s="1" t="e">
        <f>IF(AQ68="","",VLOOKUP(AQ68,S4:U53,3,0))</f>
        <v>#VALUE!</v>
      </c>
      <c r="AS68" s="8" t="str">
        <f t="shared" ref="AS68:AS131" si="76">IF(ISERROR(IF(COUNTIF(AP68:AR68,"")&gt;=1,"",AO68&amp;AP68&amp;"【"&amp;IF(AQ68&gt;20,AQ68-20,AQ68)&amp;"】"&amp;AR68)),"",IF(COUNTIF(AP68:AR68,"")&gt;=1,"",AO68&amp;AP68&amp;"【"&amp;IF(AQ68&gt;20,AQ68-20,AQ68)&amp;"】"&amp;AR68))</f>
        <v/>
      </c>
      <c r="AU68" s="71" t="e">
        <f t="shared" ref="AU68:AU131" si="77">IF(AY68="","",AY68*10+I68)</f>
        <v>#VALUE!</v>
      </c>
      <c r="AV68" s="71" t="str">
        <f>IF(OR(COUNTBLANK(AY68)=1,ISERROR(AY68)),"",COUNT(AY4:AY68))</f>
        <v/>
      </c>
      <c r="AW68" s="7" t="e">
        <f t="shared" ref="AW68:AW131" si="78">IF(AY68&gt;20,"ナビ・","1・2年のナビ・")</f>
        <v>#VALUE!</v>
      </c>
      <c r="AX68" s="1" t="str">
        <f>IF(ISERROR(INDEX(C4:C8,MATCH(I68,D4:D8,0))),"",INDEX(C4:C8,MATCH(I68,D4:D8,0)))</f>
        <v/>
      </c>
      <c r="AY68" s="79" t="e">
        <f>IF(IF(COUNTIF(AY4:AY67,AY64)&gt;=MAX(D4:D8),AY64+4,AY64)&gt;50,"",IF(COUNTIF(AY4:AY67,AY64)&gt;=MAX(D4:D8),AY64+4,AY64))</f>
        <v>#VALUE!</v>
      </c>
      <c r="AZ68" s="76" t="e">
        <f>IF(AY68="","",VLOOKUP(AY68,S4:U53,3,0))</f>
        <v>#VALUE!</v>
      </c>
      <c r="BA68" s="8" t="str">
        <f t="shared" ref="BA68:BA131" si="79">IF(ISERROR(IF(COUNTIF(AX68:AZ68,"")&gt;=1,"",AW68&amp;AX68&amp;"【"&amp;IF(AY68&gt;20,AY68-20,AY68)&amp;"】"&amp;AZ68)),"",IF(COUNTIF(AX68:AZ68,"")&gt;=1,"",AW68&amp;AX68&amp;"【"&amp;IF(AY68&gt;20,AY68-20,AY68)&amp;"】"&amp;AZ68))</f>
        <v/>
      </c>
      <c r="BC68" s="71" t="e">
        <f t="shared" ref="BC68:BC131" si="80">IF(BG68="","",BG68*10+J68)</f>
        <v>#VALUE!</v>
      </c>
      <c r="BD68" s="71" t="str">
        <f>IF(OR(COUNTBLANK(BG68)=1,ISERROR(BG68)),"",COUNT(BG4:BG68))</f>
        <v/>
      </c>
      <c r="BE68" s="7" t="e">
        <f t="shared" ref="BE68:BE131" si="81">IF(BG68&gt;20,"ナビ・","1・2年のナビ・")</f>
        <v>#VALUE!</v>
      </c>
      <c r="BF68" s="1" t="str">
        <f>IF(ISERROR(INDEX(C4:C8,MATCH(J68,D4:D8,0))),"",INDEX(C4:C8,MATCH(J68,D4:D8,0)))</f>
        <v/>
      </c>
      <c r="BG68" s="79" t="e">
        <f>IF(IF(COUNTIF(BG4:BG67,BG63)&gt;=MAX(D4:D8),BG63+5,BG63)&gt;50,"",IF(COUNTIF(BG4:BG67,BG63)&gt;=MAX(D4:D8),BG63+5,BG63))</f>
        <v>#VALUE!</v>
      </c>
      <c r="BH68" s="76" t="e">
        <f>IF(BG68="","",VLOOKUP(BG68,S4:U53,3,0))</f>
        <v>#VALUE!</v>
      </c>
      <c r="BI68" s="8" t="str">
        <f t="shared" ref="BI68:BI131" si="82">IF(ISERROR(IF(COUNTIF(BF68:BH68,"")&gt;=1,"",BE68&amp;BF68&amp;"【"&amp;IF(BG68&gt;20,BG68-20,BG68)&amp;"】"&amp;BH68)),"",IF(COUNTIF(BF68:BH68,"")&gt;=1,"",BE68&amp;BF68&amp;"【"&amp;IF(BG68&gt;20,BG68-20,BG68)&amp;"】"&amp;BH68))</f>
        <v/>
      </c>
      <c r="BP68" s="71" t="e">
        <f>IF(BT68="","",BT68*10+5)</f>
        <v>#VALUE!</v>
      </c>
      <c r="BQ68" s="71" t="str">
        <f>IF(OR(COUNTBLANK(BT68)=1,ISERROR(BT68)),"",COUNT(BT4:BT68))</f>
        <v/>
      </c>
      <c r="BR68" s="7" t="e">
        <f t="shared" si="18"/>
        <v>#VALUE!</v>
      </c>
      <c r="BS68" s="1" t="str">
        <f t="shared" si="19"/>
        <v/>
      </c>
      <c r="BT68" s="79" t="e">
        <f>IF(IF(COUNTIF($BT$4:BT67,BT67)&gt;=MAX($D$4:$D$8),BT67+1,BT67)&gt;55,"",IF(COUNTIF($BT$4:BT67,BT67)&gt;=MAX($D$4:$D$8),BT67+1,BT67))</f>
        <v>#VALUE!</v>
      </c>
      <c r="BU68" s="1" t="e">
        <f t="shared" si="20"/>
        <v>#VALUE!</v>
      </c>
      <c r="BV68" s="8" t="str">
        <f t="shared" si="21"/>
        <v/>
      </c>
      <c r="BX68" s="71" t="e">
        <f t="shared" si="22"/>
        <v>#VALUE!</v>
      </c>
      <c r="BY68" s="71" t="str">
        <f>IF(OR(COUNTBLANK(CB68)=1,ISERROR(CB68)),"",COUNT($CB$4:CB68))</f>
        <v/>
      </c>
      <c r="BZ68" s="7" t="e">
        <f t="shared" si="23"/>
        <v>#VALUE!</v>
      </c>
      <c r="CA68" s="1" t="str">
        <f t="shared" si="24"/>
        <v/>
      </c>
      <c r="CB68" s="79" t="e">
        <f>IF(IF(COUNTIF($CB$4:CB67,CB66)&gt;=MAX($D$4:$D$8),CB66+2,CB66)&gt;55,"",IF(COUNTIF($CB$4:CB67,CB66)&gt;=MAX($D$4:$D$8),CB66+2,CB66))</f>
        <v>#VALUE!</v>
      </c>
      <c r="CC68" s="1" t="e">
        <f t="shared" si="25"/>
        <v>#VALUE!</v>
      </c>
      <c r="CD68" s="8" t="str">
        <f t="shared" si="26"/>
        <v/>
      </c>
      <c r="CF68" s="71" t="e">
        <f t="shared" si="61"/>
        <v>#VALUE!</v>
      </c>
      <c r="CG68" s="71" t="str">
        <f>IF(OR(COUNTBLANK(CJ68)=1,ISERROR(CJ68)),"",COUNT($CJ$4:CJ68))</f>
        <v/>
      </c>
      <c r="CH68" s="7" t="e">
        <f t="shared" si="62"/>
        <v>#VALUE!</v>
      </c>
      <c r="CI68" s="1" t="str">
        <f t="shared" si="63"/>
        <v/>
      </c>
      <c r="CJ68" s="79" t="e">
        <f>IF(IF(COUNTIF($CJ$4:CJ67,CJ65)&gt;=MAX($D$4:$D$8),CJ65+3,CJ65)&gt;55,"",IF(COUNTIF($CJ$4:CJ67,CJ65)&gt;=MAX($D$4:$D$8),CJ65+3,CJ65))</f>
        <v>#VALUE!</v>
      </c>
      <c r="CK68" s="1" t="e">
        <f t="shared" si="30"/>
        <v>#VALUE!</v>
      </c>
      <c r="CL68" s="8" t="str">
        <f t="shared" si="64"/>
        <v/>
      </c>
      <c r="CN68" s="71" t="e">
        <f t="shared" si="51"/>
        <v>#VALUE!</v>
      </c>
      <c r="CO68" s="71" t="str">
        <f>IF(OR(COUNTBLANK(CR68)=1,ISERROR(CR68)),"",COUNT($CR$4:CR68))</f>
        <v/>
      </c>
      <c r="CP68" s="7" t="e">
        <f t="shared" si="52"/>
        <v>#VALUE!</v>
      </c>
      <c r="CQ68" s="1" t="str">
        <f t="shared" si="53"/>
        <v/>
      </c>
      <c r="CR68" s="79" t="e">
        <f>IF(IF(COUNTIF($CR$4:CR67,CR64)&gt;=MAX($D$4:$D$8),CR64+4,CR64)&gt;55,"",IF(COUNTIF($CR$4:CR67,CR64)&gt;=MAX($D$4:$D$8),CR64+4,CR64))</f>
        <v>#VALUE!</v>
      </c>
      <c r="CS68" s="1" t="e">
        <f t="shared" si="35"/>
        <v>#VALUE!</v>
      </c>
      <c r="CT68" s="8" t="str">
        <f t="shared" si="54"/>
        <v/>
      </c>
      <c r="CV68" s="71" t="e">
        <f t="shared" si="65"/>
        <v>#VALUE!</v>
      </c>
      <c r="CW68" s="71" t="str">
        <f>IF(OR(COUNTBLANK(CZ68)=1,ISERROR(CZ68)),"",COUNT($CZ$4:CZ68))</f>
        <v/>
      </c>
      <c r="CX68" s="7" t="e">
        <f t="shared" si="66"/>
        <v>#VALUE!</v>
      </c>
      <c r="CY68" s="1" t="str">
        <f t="shared" si="67"/>
        <v/>
      </c>
      <c r="CZ68" s="79" t="e">
        <f>IF(IF(COUNTIF($CZ$4:CZ67,CZ63)&gt;=MAX($D$4:$D$8),CZ63+5,CZ63)&gt;55,"",IF(COUNTIF($CZ$4:CZ67,CZ63)&gt;=MAX($D$4:$D$8),CZ63+5,CZ63))</f>
        <v>#VALUE!</v>
      </c>
      <c r="DA68" s="1" t="e">
        <f t="shared" si="40"/>
        <v>#VALUE!</v>
      </c>
      <c r="DB68" s="8" t="str">
        <f t="shared" si="68"/>
        <v/>
      </c>
    </row>
    <row r="69" spans="5:106" x14ac:dyDescent="0.15">
      <c r="E69" s="1">
        <v>66</v>
      </c>
      <c r="F69" s="1">
        <f t="shared" si="42"/>
        <v>1</v>
      </c>
      <c r="G69" s="1">
        <f t="shared" si="60"/>
        <v>1</v>
      </c>
      <c r="H69" s="1">
        <f t="shared" si="45"/>
        <v>1</v>
      </c>
      <c r="I69" s="1">
        <f t="shared" si="50"/>
        <v>1</v>
      </c>
      <c r="J69" s="1">
        <f t="shared" si="55"/>
        <v>1</v>
      </c>
      <c r="L69" s="1" t="str">
        <f>IF(ISERROR(HLOOKUP($C$10,$F$3:$J$253,67,0)),"",HLOOKUP($C$10,$F$3:$J$253,67,0))</f>
        <v/>
      </c>
      <c r="W69" s="71" t="e">
        <f>IF(AA69="","",AA69*10+1)</f>
        <v>#VALUE!</v>
      </c>
      <c r="X69" s="71" t="str">
        <f>IF(OR(COUNTBLANK(AA69)=1,ISERROR(AA69)),"",COUNT(AA4:AA69))</f>
        <v/>
      </c>
      <c r="Y69" s="7" t="e">
        <f t="shared" si="69"/>
        <v>#VALUE!</v>
      </c>
      <c r="Z69" s="1" t="str">
        <f t="shared" ref="Z69:Z132" si="83">IF(ISERROR(INDEX($C$4:$C$8,MATCH(F69,$D$4:$D$8,0))),"",INDEX($C$4:$C$8,MATCH(F69,$D$4:$D$8,0)))</f>
        <v/>
      </c>
      <c r="AA69" s="79" t="e">
        <f>IF(IF(COUNTIF(AA4:AA68,AA68)&gt;=MAX(D4:D8),AA68+1,AA68)&gt;50,"",IF(COUNTIF(AA4:AA68,AA68)&gt;=MAX(D4:D8),AA68+1,AA68))</f>
        <v>#VALUE!</v>
      </c>
      <c r="AB69" s="1" t="e">
        <f>IF(AA69="","",VLOOKUP(AA69,S4:U53,3,0))</f>
        <v>#VALUE!</v>
      </c>
      <c r="AC69" s="8" t="str">
        <f t="shared" si="70"/>
        <v/>
      </c>
      <c r="AE69" s="71" t="e">
        <f t="shared" si="71"/>
        <v>#VALUE!</v>
      </c>
      <c r="AF69" s="71" t="str">
        <f>IF(OR(COUNTBLANK(AI69)=1,ISERROR(AI69)),"",COUNT(AI4:AI69))</f>
        <v/>
      </c>
      <c r="AG69" s="7" t="e">
        <f t="shared" si="72"/>
        <v>#VALUE!</v>
      </c>
      <c r="AH69" s="1" t="str">
        <f>IF(ISERROR(INDEX(C4:C8,MATCH(G69,D4:D8,0))),"",INDEX(C4:C8,MATCH(G69,D4:D8,0)))</f>
        <v/>
      </c>
      <c r="AI69" s="79" t="e">
        <f>IF(IF(COUNTIF(AI4:AI67,AI67)&gt;=MAX(D4:D8),AI67+2,AI67)&gt;50,"",IF(COUNTIF(AI4:AI67,AI67)&gt;=MAX(D4:D8),AI67+2,AI67))</f>
        <v>#VALUE!</v>
      </c>
      <c r="AJ69" s="1" t="e">
        <f>IF(AI69="","",VLOOKUP(AI69,S4:U53,3,0))</f>
        <v>#VALUE!</v>
      </c>
      <c r="AK69" s="8" t="str">
        <f t="shared" si="73"/>
        <v/>
      </c>
      <c r="AM69" s="71" t="e">
        <f t="shared" si="74"/>
        <v>#VALUE!</v>
      </c>
      <c r="AN69" s="71" t="str">
        <f>IF(OR(COUNTBLANK(AQ69)=1,ISERROR(AQ69)),"",COUNT(AQ4:AQ69))</f>
        <v/>
      </c>
      <c r="AO69" s="7" t="e">
        <f t="shared" si="75"/>
        <v>#VALUE!</v>
      </c>
      <c r="AP69" s="1" t="str">
        <f>IF(ISERROR(INDEX(C4:C8,MATCH(H69,D4:D8,0))),"",INDEX(C4:C8,MATCH(H69,D4:D8,0)))</f>
        <v/>
      </c>
      <c r="AQ69" s="79" t="e">
        <f>IF(IF(COUNTIF(AQ4:AQ68,AQ66)&gt;=MAX(D4:D8),AQ66+3,AQ66)&gt;50,"",IF(COUNTIF(AQ4:AQ68,AQ66)&gt;=MAX(D4:D8),AQ66+3,AQ66))</f>
        <v>#VALUE!</v>
      </c>
      <c r="AR69" s="1" t="e">
        <f>IF(AQ69="","",VLOOKUP(AQ69,S4:U53,3,0))</f>
        <v>#VALUE!</v>
      </c>
      <c r="AS69" s="8" t="str">
        <f t="shared" si="76"/>
        <v/>
      </c>
      <c r="AU69" s="71" t="e">
        <f t="shared" si="77"/>
        <v>#VALUE!</v>
      </c>
      <c r="AV69" s="71" t="str">
        <f>IF(OR(COUNTBLANK(AY69)=1,ISERROR(AY69)),"",COUNT(AY4:AY69))</f>
        <v/>
      </c>
      <c r="AW69" s="7" t="e">
        <f t="shared" si="78"/>
        <v>#VALUE!</v>
      </c>
      <c r="AX69" s="1" t="str">
        <f>IF(ISERROR(INDEX(C4:C8,MATCH(I69,D4:D8,0))),"",INDEX(C4:C8,MATCH(I69,D4:D8,0)))</f>
        <v/>
      </c>
      <c r="AY69" s="79" t="e">
        <f>IF(IF(COUNTIF(AY4:AY68,AY65)&gt;=MAX(D4:D8),AY65+4,AY65)&gt;50,"",IF(COUNTIF(AY4:AY68,AY65)&gt;=MAX(D4:D8),AY65+4,AY65))</f>
        <v>#VALUE!</v>
      </c>
      <c r="AZ69" s="76" t="e">
        <f>IF(AY69="","",VLOOKUP(AY69,S4:U53,3,0))</f>
        <v>#VALUE!</v>
      </c>
      <c r="BA69" s="8" t="str">
        <f t="shared" si="79"/>
        <v/>
      </c>
      <c r="BC69" s="71" t="e">
        <f t="shared" si="80"/>
        <v>#VALUE!</v>
      </c>
      <c r="BD69" s="71" t="str">
        <f>IF(OR(COUNTBLANK(BG69)=1,ISERROR(BG69)),"",COUNT(BG4:BG69))</f>
        <v/>
      </c>
      <c r="BE69" s="7" t="e">
        <f t="shared" si="81"/>
        <v>#VALUE!</v>
      </c>
      <c r="BF69" s="1" t="str">
        <f>IF(ISERROR(INDEX(C4:C8,MATCH(J69,D4:D8,0))),"",INDEX(C4:C8,MATCH(J69,D4:D8,0)))</f>
        <v/>
      </c>
      <c r="BG69" s="79" t="e">
        <f>IF(IF(COUNTIF(BG4:BG68,BG64)&gt;=MAX(D4:D8),BG64+5,BG64)&gt;50,"",IF(COUNTIF(BG4:BG68,BG64)&gt;=MAX(D4:D8),BG64+5,BG64))</f>
        <v>#VALUE!</v>
      </c>
      <c r="BH69" s="76" t="e">
        <f>IF(BG69="","",VLOOKUP(BG69,S4:U53,3,0))</f>
        <v>#VALUE!</v>
      </c>
      <c r="BI69" s="8" t="str">
        <f t="shared" si="82"/>
        <v/>
      </c>
      <c r="BP69" s="71" t="e">
        <f>IF(BT69="","",BT69*10+1)</f>
        <v>#VALUE!</v>
      </c>
      <c r="BQ69" s="71" t="str">
        <f>IF(OR(COUNTBLANK(BT69)=1,ISERROR(BT69)),"",COUNT(BT4:BT69))</f>
        <v/>
      </c>
      <c r="BR69" s="7" t="e">
        <f t="shared" ref="BR69:BR132" si="84">IF(BT69&gt;25,"ナビ・","1・2年のWナビ・")</f>
        <v>#VALUE!</v>
      </c>
      <c r="BS69" s="1" t="str">
        <f t="shared" ref="BS69:BS132" si="85">IF(ISERROR(INDEX($C$4:$C$8,MATCH(F69,$D$4:$D$8,0))),"",INDEX($C$4:$C$8,MATCH(F69,$D$4:$D$8,0)))</f>
        <v/>
      </c>
      <c r="BT69" s="79" t="e">
        <f>IF(IF(COUNTIF($BT$4:BT68,BT68)&gt;=MAX($D$4:$D$8),BT68+1,BT68)&gt;55,"",IF(COUNTIF($BT$4:BT68,BT68)&gt;=MAX($D$4:$D$8),BT68+1,BT68))</f>
        <v>#VALUE!</v>
      </c>
      <c r="BU69" s="1" t="e">
        <f t="shared" ref="BU69:BU132" si="86">IF(BT69="","",VLOOKUP(BT69,$BL$4:$BN$58,3,0))</f>
        <v>#VALUE!</v>
      </c>
      <c r="BV69" s="8" t="str">
        <f t="shared" ref="BV69:BV132" si="87">IF(ISERROR(IF(COUNTIF(BS69:BU69,"")&gt;=1,"",BR69&amp;BS69&amp;"【"&amp;VLOOKUP(BT69,$BL$4:$BN$58,2,0)&amp;"】"&amp;BU69)),"",IF(COUNTIF(BS69:BU69,"")&gt;=1,"",BR69&amp;BS69&amp;"【"&amp;VLOOKUP(BT69,$BL$4:$BN$58,2,0)&amp;"】"&amp;BU69))</f>
        <v/>
      </c>
      <c r="BX69" s="71" t="e">
        <f t="shared" ref="BX69:BX132" si="88">IF(CB69="","",CB69*10+G69)</f>
        <v>#VALUE!</v>
      </c>
      <c r="BY69" s="71" t="str">
        <f>IF(OR(COUNTBLANK(CB69)=1,ISERROR(CB69)),"",COUNT($CB$4:CB69))</f>
        <v/>
      </c>
      <c r="BZ69" s="7" t="e">
        <f t="shared" ref="BZ69:BZ132" si="89">IF(CB69&gt;25,"ナビ・","1・2年のWナビ・")</f>
        <v>#VALUE!</v>
      </c>
      <c r="CA69" s="1" t="str">
        <f t="shared" ref="CA69:CA132" si="90">IF(ISERROR(INDEX($C$4:$C$8,MATCH(G69,$D$4:$D$8,0))),"",INDEX($C$4:$C$8,MATCH(G69,$D$4:$D$8,0)))</f>
        <v/>
      </c>
      <c r="CB69" s="79" t="e">
        <f>IF(IF(COUNTIF($CB$4:CB68,CB67)&gt;=MAX($D$4:$D$8),CB67+2,CB67)&gt;55,"",IF(COUNTIF($CB$4:CB68,CB67)&gt;=MAX($D$4:$D$8),CB67+2,CB67))</f>
        <v>#VALUE!</v>
      </c>
      <c r="CC69" s="1" t="e">
        <f t="shared" ref="CC69:CC132" si="91">IF(CB69="","",VLOOKUP(CB69,$BL$4:$BN$58,3,0))</f>
        <v>#VALUE!</v>
      </c>
      <c r="CD69" s="8" t="str">
        <f t="shared" ref="CD69:CD132" si="92">IF(ISERROR(IF(COUNTIF(CA69:CC69,"")&gt;=1,"",BZ69&amp;CA69&amp;"【"&amp;VLOOKUP(CB69,$BL$4:$BN$58,2,0)&amp;"】"&amp;CC69)),"",IF(COUNTIF(CA69:CC69,"")&gt;=1,"",BZ69&amp;CA69&amp;"【"&amp;VLOOKUP(CB69,$BL$4:$BN$58,2,0)&amp;"】"&amp;CC69))</f>
        <v/>
      </c>
      <c r="CF69" s="71" t="e">
        <f t="shared" si="61"/>
        <v>#VALUE!</v>
      </c>
      <c r="CG69" s="71" t="str">
        <f>IF(OR(COUNTBLANK(CJ69)=1,ISERROR(CJ69)),"",COUNT($CJ$4:CJ69))</f>
        <v/>
      </c>
      <c r="CH69" s="7" t="e">
        <f t="shared" si="62"/>
        <v>#VALUE!</v>
      </c>
      <c r="CI69" s="1" t="str">
        <f t="shared" si="63"/>
        <v/>
      </c>
      <c r="CJ69" s="79" t="e">
        <f>IF(IF(COUNTIF($CJ$4:CJ68,CJ66)&gt;=MAX($D$4:$D$8),CJ66+3,CJ66)&gt;55,"",IF(COUNTIF($CJ$4:CJ68,CJ66)&gt;=MAX($D$4:$D$8),CJ66+3,CJ66))</f>
        <v>#VALUE!</v>
      </c>
      <c r="CK69" s="1" t="e">
        <f t="shared" ref="CK69:CK132" si="93">IF(CJ69="","",VLOOKUP(CJ69,$BL$4:$BN$58,3,0))</f>
        <v>#VALUE!</v>
      </c>
      <c r="CL69" s="8" t="str">
        <f t="shared" si="64"/>
        <v/>
      </c>
      <c r="CN69" s="71" t="e">
        <f t="shared" si="51"/>
        <v>#VALUE!</v>
      </c>
      <c r="CO69" s="71" t="str">
        <f>IF(OR(COUNTBLANK(CR69)=1,ISERROR(CR69)),"",COUNT($CR$4:CR69))</f>
        <v/>
      </c>
      <c r="CP69" s="7" t="e">
        <f t="shared" si="52"/>
        <v>#VALUE!</v>
      </c>
      <c r="CQ69" s="1" t="str">
        <f t="shared" si="53"/>
        <v/>
      </c>
      <c r="CR69" s="79" t="e">
        <f>IF(IF(COUNTIF($CR$4:CR68,CR65)&gt;=MAX($D$4:$D$8),CR65+4,CR65)&gt;55,"",IF(COUNTIF($CR$4:CR68,CR65)&gt;=MAX($D$4:$D$8),CR65+4,CR65))</f>
        <v>#VALUE!</v>
      </c>
      <c r="CS69" s="1" t="e">
        <f t="shared" ref="CS69:CS132" si="94">IF(CR69="","",VLOOKUP(CR69,$BL$4:$BN$58,3,0))</f>
        <v>#VALUE!</v>
      </c>
      <c r="CT69" s="8" t="str">
        <f t="shared" si="54"/>
        <v/>
      </c>
      <c r="CV69" s="71" t="e">
        <f t="shared" si="65"/>
        <v>#VALUE!</v>
      </c>
      <c r="CW69" s="71" t="str">
        <f>IF(OR(COUNTBLANK(CZ69)=1,ISERROR(CZ69)),"",COUNT($CZ$4:CZ69))</f>
        <v/>
      </c>
      <c r="CX69" s="7" t="e">
        <f t="shared" si="66"/>
        <v>#VALUE!</v>
      </c>
      <c r="CY69" s="1" t="str">
        <f t="shared" si="67"/>
        <v/>
      </c>
      <c r="CZ69" s="79" t="e">
        <f>IF(IF(COUNTIF($CZ$4:CZ68,CZ64)&gt;=MAX($D$4:$D$8),CZ64+5,CZ64)&gt;55,"",IF(COUNTIF($CZ$4:CZ68,CZ64)&gt;=MAX($D$4:$D$8),CZ64+5,CZ64))</f>
        <v>#VALUE!</v>
      </c>
      <c r="DA69" s="1" t="e">
        <f t="shared" ref="DA69:DA132" si="95">IF(CZ69="","",VLOOKUP(CZ69,$BL$4:$BN$58,3,0))</f>
        <v>#VALUE!</v>
      </c>
      <c r="DB69" s="8" t="str">
        <f t="shared" si="68"/>
        <v/>
      </c>
    </row>
    <row r="70" spans="5:106" x14ac:dyDescent="0.15">
      <c r="E70" s="1">
        <v>67</v>
      </c>
      <c r="F70" s="1">
        <f t="shared" ref="F70:F133" si="96">IF(F69+1&gt;MAX($D$4:$D$8),1,F69+1)</f>
        <v>1</v>
      </c>
      <c r="G70" s="1">
        <f t="shared" si="60"/>
        <v>1</v>
      </c>
      <c r="H70" s="1">
        <f t="shared" si="45"/>
        <v>1</v>
      </c>
      <c r="I70" s="1">
        <f t="shared" si="50"/>
        <v>1</v>
      </c>
      <c r="J70" s="1">
        <f t="shared" si="55"/>
        <v>1</v>
      </c>
      <c r="L70" s="1" t="str">
        <f>IF(ISERROR(HLOOKUP($C$10,$F$3:$J$253,68,0)),"",HLOOKUP($C$10,$F$3:$J$253,68,0))</f>
        <v/>
      </c>
      <c r="W70" s="71" t="e">
        <f>IF(AA70="","",AA70*10+2)</f>
        <v>#VALUE!</v>
      </c>
      <c r="X70" s="71" t="str">
        <f>IF(OR(COUNTBLANK(AA70)=1,ISERROR(AA70)),"",COUNT(AA4:AA70))</f>
        <v/>
      </c>
      <c r="Y70" s="7" t="e">
        <f t="shared" si="69"/>
        <v>#VALUE!</v>
      </c>
      <c r="Z70" s="1" t="str">
        <f t="shared" si="83"/>
        <v/>
      </c>
      <c r="AA70" s="79" t="e">
        <f>IF(IF(COUNTIF(AA4:AA69,AA69)&gt;=MAX(D4:D8),AA69+1,AA69)&gt;50,"",IF(COUNTIF(AA4:AA69,AA69)&gt;=MAX(D4:D8),AA69+1,AA69))</f>
        <v>#VALUE!</v>
      </c>
      <c r="AB70" s="1" t="e">
        <f>IF(AA70="","",VLOOKUP(AA70,S4:U53,3,0))</f>
        <v>#VALUE!</v>
      </c>
      <c r="AC70" s="8" t="str">
        <f t="shared" si="70"/>
        <v/>
      </c>
      <c r="AE70" s="71" t="e">
        <f t="shared" si="71"/>
        <v>#VALUE!</v>
      </c>
      <c r="AF70" s="71" t="str">
        <f>IF(OR(COUNTBLANK(AI70)=1,ISERROR(AI70)),"",COUNT(AI4:AI70))</f>
        <v/>
      </c>
      <c r="AG70" s="7" t="e">
        <f t="shared" si="72"/>
        <v>#VALUE!</v>
      </c>
      <c r="AH70" s="1" t="str">
        <f>IF(ISERROR(INDEX(C4:C8,MATCH(G70,D4:D8,0))),"",INDEX(C4:C8,MATCH(G70,D4:D8,0)))</f>
        <v/>
      </c>
      <c r="AI70" s="79" t="e">
        <f>IF(IF(COUNTIF(AI4:AI69,AI68)&gt;=MAX(D4:D8),AI68+2,AI68)&gt;50,"",IF(COUNTIF(AI4:AI69,AI68)&gt;=MAX(D4:D8),AI68+2,AI68))</f>
        <v>#VALUE!</v>
      </c>
      <c r="AJ70" s="1" t="e">
        <f>IF(AI70="","",VLOOKUP(AI70,S4:U53,3,0))</f>
        <v>#VALUE!</v>
      </c>
      <c r="AK70" s="8" t="str">
        <f t="shared" si="73"/>
        <v/>
      </c>
      <c r="AM70" s="71" t="e">
        <f t="shared" si="74"/>
        <v>#VALUE!</v>
      </c>
      <c r="AN70" s="71" t="str">
        <f>IF(OR(COUNTBLANK(AQ70)=1,ISERROR(AQ70)),"",COUNT(AQ4:AQ70))</f>
        <v/>
      </c>
      <c r="AO70" s="7" t="e">
        <f t="shared" si="75"/>
        <v>#VALUE!</v>
      </c>
      <c r="AP70" s="1" t="str">
        <f>IF(ISERROR(INDEX(C4:C8,MATCH(H70,D4:D8,0))),"",INDEX(C4:C8,MATCH(H70,D4:D8,0)))</f>
        <v/>
      </c>
      <c r="AQ70" s="79" t="e">
        <f>IF(IF(COUNTIF(AQ4:AQ69,AQ67)&gt;=MAX(D4:D8),AQ67+3,AQ67)&gt;50,"",IF(COUNTIF(AQ4:AQ69,AQ67)&gt;=MAX(D4:D8),AQ67+3,AQ67))</f>
        <v>#VALUE!</v>
      </c>
      <c r="AR70" s="1" t="e">
        <f>IF(AQ70="","",VLOOKUP(AQ70,S4:U53,3,0))</f>
        <v>#VALUE!</v>
      </c>
      <c r="AS70" s="8" t="str">
        <f t="shared" si="76"/>
        <v/>
      </c>
      <c r="AU70" s="71" t="e">
        <f t="shared" si="77"/>
        <v>#VALUE!</v>
      </c>
      <c r="AV70" s="71" t="str">
        <f>IF(OR(COUNTBLANK(AY70)=1,ISERROR(AY70)),"",COUNT(AY4:AY70))</f>
        <v/>
      </c>
      <c r="AW70" s="7" t="e">
        <f t="shared" si="78"/>
        <v>#VALUE!</v>
      </c>
      <c r="AX70" s="1" t="str">
        <f>IF(ISERROR(INDEX(C4:C8,MATCH(I70,D4:D8,0))),"",INDEX(C4:C8,MATCH(I70,D4:D8,0)))</f>
        <v/>
      </c>
      <c r="AY70" s="79" t="e">
        <f>IF(IF(COUNTIF(AY4:AY69,AY66)&gt;=MAX(D4:D8),AY66+4,AY66)&gt;50,"",IF(COUNTIF(AY4:AY69,AY66)&gt;=MAX(D4:D8),AY66+4,AY66))</f>
        <v>#VALUE!</v>
      </c>
      <c r="AZ70" s="76" t="e">
        <f>IF(AY70="","",VLOOKUP(AY70,S4:U53,3,0))</f>
        <v>#VALUE!</v>
      </c>
      <c r="BA70" s="8" t="str">
        <f t="shared" si="79"/>
        <v/>
      </c>
      <c r="BC70" s="71" t="e">
        <f t="shared" si="80"/>
        <v>#VALUE!</v>
      </c>
      <c r="BD70" s="71" t="str">
        <f>IF(OR(COUNTBLANK(BG70)=1,ISERROR(BG70)),"",COUNT(BG4:BG70))</f>
        <v/>
      </c>
      <c r="BE70" s="7" t="e">
        <f t="shared" si="81"/>
        <v>#VALUE!</v>
      </c>
      <c r="BF70" s="1" t="str">
        <f>IF(ISERROR(INDEX(C4:C8,MATCH(J70,D4:D8,0))),"",INDEX(C4:C8,MATCH(J70,D4:D8,0)))</f>
        <v/>
      </c>
      <c r="BG70" s="79" t="e">
        <f>IF(IF(COUNTIF(BG4:BG69,BG65)&gt;=MAX(D4:D8),BG65+5,BG65)&gt;50,"",IF(COUNTIF(BG4:BG69,BG65)&gt;=MAX(D4:D8),BG65+5,BG65))</f>
        <v>#VALUE!</v>
      </c>
      <c r="BH70" s="76" t="e">
        <f>IF(BG70="","",VLOOKUP(BG70,S4:U53,3,0))</f>
        <v>#VALUE!</v>
      </c>
      <c r="BI70" s="8" t="str">
        <f t="shared" si="82"/>
        <v/>
      </c>
      <c r="BP70" s="71" t="e">
        <f>IF(BT70="","",BT70*10+2)</f>
        <v>#VALUE!</v>
      </c>
      <c r="BQ70" s="71" t="str">
        <f>IF(OR(COUNTBLANK(BT70)=1,ISERROR(BT70)),"",COUNT(BT4:BT70))</f>
        <v/>
      </c>
      <c r="BR70" s="7" t="e">
        <f t="shared" si="84"/>
        <v>#VALUE!</v>
      </c>
      <c r="BS70" s="1" t="str">
        <f t="shared" si="85"/>
        <v/>
      </c>
      <c r="BT70" s="79" t="e">
        <f>IF(IF(COUNTIF($BT$4:BT69,BT69)&gt;=MAX($D$4:$D$8),BT69+1,BT69)&gt;55,"",IF(COUNTIF($BT$4:BT69,BT69)&gt;=MAX($D$4:$D$8),BT69+1,BT69))</f>
        <v>#VALUE!</v>
      </c>
      <c r="BU70" s="1" t="e">
        <f t="shared" si="86"/>
        <v>#VALUE!</v>
      </c>
      <c r="BV70" s="8" t="str">
        <f t="shared" si="87"/>
        <v/>
      </c>
      <c r="BX70" s="71" t="e">
        <f t="shared" si="88"/>
        <v>#VALUE!</v>
      </c>
      <c r="BY70" s="71" t="str">
        <f>IF(OR(COUNTBLANK(CB70)=1,ISERROR(CB70)),"",COUNT($CB$4:CB70))</f>
        <v/>
      </c>
      <c r="BZ70" s="7" t="e">
        <f t="shared" si="89"/>
        <v>#VALUE!</v>
      </c>
      <c r="CA70" s="1" t="str">
        <f t="shared" si="90"/>
        <v/>
      </c>
      <c r="CB70" s="79" t="e">
        <f>IF(IF(COUNTIF($CB$4:CB69,CB68)&gt;=MAX($D$4:$D$8),CB68+2,CB68)&gt;55,"",IF(COUNTIF($CB$4:CB69,CB68)&gt;=MAX($D$4:$D$8),CB68+2,CB68))</f>
        <v>#VALUE!</v>
      </c>
      <c r="CC70" s="1" t="e">
        <f t="shared" si="91"/>
        <v>#VALUE!</v>
      </c>
      <c r="CD70" s="8" t="str">
        <f t="shared" si="92"/>
        <v/>
      </c>
      <c r="CF70" s="71" t="e">
        <f t="shared" si="61"/>
        <v>#VALUE!</v>
      </c>
      <c r="CG70" s="71" t="str">
        <f>IF(OR(COUNTBLANK(CJ70)=1,ISERROR(CJ70)),"",COUNT($CJ$4:CJ70))</f>
        <v/>
      </c>
      <c r="CH70" s="7" t="e">
        <f t="shared" si="62"/>
        <v>#VALUE!</v>
      </c>
      <c r="CI70" s="1" t="str">
        <f t="shared" si="63"/>
        <v/>
      </c>
      <c r="CJ70" s="79" t="e">
        <f>IF(IF(COUNTIF($CJ$4:CJ69,CJ67)&gt;=MAX($D$4:$D$8),CJ67+3,CJ67)&gt;55,"",IF(COUNTIF($CJ$4:CJ69,CJ67)&gt;=MAX($D$4:$D$8),CJ67+3,CJ67))</f>
        <v>#VALUE!</v>
      </c>
      <c r="CK70" s="1" t="e">
        <f t="shared" si="93"/>
        <v>#VALUE!</v>
      </c>
      <c r="CL70" s="8" t="str">
        <f t="shared" si="64"/>
        <v/>
      </c>
      <c r="CN70" s="71" t="e">
        <f t="shared" si="51"/>
        <v>#VALUE!</v>
      </c>
      <c r="CO70" s="71" t="str">
        <f>IF(OR(COUNTBLANK(CR70)=1,ISERROR(CR70)),"",COUNT($CR$4:CR70))</f>
        <v/>
      </c>
      <c r="CP70" s="7" t="e">
        <f t="shared" si="52"/>
        <v>#VALUE!</v>
      </c>
      <c r="CQ70" s="1" t="str">
        <f t="shared" si="53"/>
        <v/>
      </c>
      <c r="CR70" s="79" t="e">
        <f>IF(IF(COUNTIF($CR$4:CR69,CR66)&gt;=MAX($D$4:$D$8),CR66+4,CR66)&gt;55,"",IF(COUNTIF($CR$4:CR69,CR66)&gt;=MAX($D$4:$D$8),CR66+4,CR66))</f>
        <v>#VALUE!</v>
      </c>
      <c r="CS70" s="1" t="e">
        <f t="shared" si="94"/>
        <v>#VALUE!</v>
      </c>
      <c r="CT70" s="8" t="str">
        <f t="shared" si="54"/>
        <v/>
      </c>
      <c r="CV70" s="71" t="e">
        <f t="shared" si="65"/>
        <v>#VALUE!</v>
      </c>
      <c r="CW70" s="71" t="str">
        <f>IF(OR(COUNTBLANK(CZ70)=1,ISERROR(CZ70)),"",COUNT($CZ$4:CZ70))</f>
        <v/>
      </c>
      <c r="CX70" s="7" t="e">
        <f t="shared" si="66"/>
        <v>#VALUE!</v>
      </c>
      <c r="CY70" s="1" t="str">
        <f t="shared" si="67"/>
        <v/>
      </c>
      <c r="CZ70" s="79" t="e">
        <f>IF(IF(COUNTIF($CZ$4:CZ69,CZ65)&gt;=MAX($D$4:$D$8),CZ65+5,CZ65)&gt;55,"",IF(COUNTIF($CZ$4:CZ69,CZ65)&gt;=MAX($D$4:$D$8),CZ65+5,CZ65))</f>
        <v>#VALUE!</v>
      </c>
      <c r="DA70" s="1" t="e">
        <f t="shared" si="95"/>
        <v>#VALUE!</v>
      </c>
      <c r="DB70" s="8" t="str">
        <f t="shared" si="68"/>
        <v/>
      </c>
    </row>
    <row r="71" spans="5:106" x14ac:dyDescent="0.15">
      <c r="E71" s="1">
        <v>68</v>
      </c>
      <c r="F71" s="1">
        <f t="shared" si="96"/>
        <v>1</v>
      </c>
      <c r="G71" s="1">
        <f t="shared" si="60"/>
        <v>1</v>
      </c>
      <c r="H71" s="1">
        <f t="shared" si="45"/>
        <v>1</v>
      </c>
      <c r="I71" s="1">
        <f t="shared" si="50"/>
        <v>1</v>
      </c>
      <c r="J71" s="1">
        <f t="shared" si="55"/>
        <v>1</v>
      </c>
      <c r="L71" s="1" t="str">
        <f>IF(ISERROR(HLOOKUP($C$10,$F$3:$J$253,69,0)),"",HLOOKUP($C$10,$F$3:$J$253,69,0))</f>
        <v/>
      </c>
      <c r="W71" s="71" t="e">
        <f>IF(AA71="","",AA71*10+3)</f>
        <v>#VALUE!</v>
      </c>
      <c r="X71" s="71" t="str">
        <f>IF(OR(COUNTBLANK(AA71)=1,ISERROR(AA71)),"",COUNT(AA4:AA71))</f>
        <v/>
      </c>
      <c r="Y71" s="7" t="e">
        <f t="shared" si="69"/>
        <v>#VALUE!</v>
      </c>
      <c r="Z71" s="1" t="str">
        <f t="shared" si="83"/>
        <v/>
      </c>
      <c r="AA71" s="79" t="e">
        <f>IF(IF(COUNTIF(AA4:AA70,AA70)&gt;=MAX(D4:D8),AA70+1,AA70)&gt;50,"",IF(COUNTIF(AA4:AA70,AA70)&gt;=MAX(D4:D8),AA70+1,AA70))</f>
        <v>#VALUE!</v>
      </c>
      <c r="AB71" s="1" t="e">
        <f>IF(AA71="","",VLOOKUP(AA71,S4:U53,3,0))</f>
        <v>#VALUE!</v>
      </c>
      <c r="AC71" s="8" t="str">
        <f t="shared" si="70"/>
        <v/>
      </c>
      <c r="AE71" s="71" t="e">
        <f t="shared" si="71"/>
        <v>#VALUE!</v>
      </c>
      <c r="AF71" s="71" t="str">
        <f>IF(OR(COUNTBLANK(AI71)=1,ISERROR(AI71)),"",COUNT(AI4:AI71))</f>
        <v/>
      </c>
      <c r="AG71" s="7" t="e">
        <f t="shared" si="72"/>
        <v>#VALUE!</v>
      </c>
      <c r="AH71" s="1" t="str">
        <f>IF(ISERROR(INDEX(C4:C8,MATCH(G71,D4:D8,0))),"",INDEX(C4:C8,MATCH(G71,D4:D8,0)))</f>
        <v/>
      </c>
      <c r="AI71" s="79" t="e">
        <f>IF(IF(COUNTIF(AI4:AI69,AI69)&gt;=MAX(D4:D8),AI69+2,AI69)&gt;50,"",IF(COUNTIF(AI4:AI69,AI69)&gt;=MAX(D4:D8),AI69+2,AI69))</f>
        <v>#VALUE!</v>
      </c>
      <c r="AJ71" s="1" t="e">
        <f>IF(AI71="","",VLOOKUP(AI71,S4:U53,3,0))</f>
        <v>#VALUE!</v>
      </c>
      <c r="AK71" s="8" t="str">
        <f t="shared" si="73"/>
        <v/>
      </c>
      <c r="AM71" s="71" t="e">
        <f t="shared" si="74"/>
        <v>#VALUE!</v>
      </c>
      <c r="AN71" s="71" t="str">
        <f>IF(OR(COUNTBLANK(AQ71)=1,ISERROR(AQ71)),"",COUNT(AQ4:AQ71))</f>
        <v/>
      </c>
      <c r="AO71" s="7" t="e">
        <f t="shared" si="75"/>
        <v>#VALUE!</v>
      </c>
      <c r="AP71" s="1" t="str">
        <f>IF(ISERROR(INDEX(C4:C8,MATCH(H71,D4:D8,0))),"",INDEX(C4:C8,MATCH(H71,D4:D8,0)))</f>
        <v/>
      </c>
      <c r="AQ71" s="79" t="e">
        <f>IF(IF(COUNTIF(AQ4:AQ70,AQ68)&gt;=MAX(D4:D8),AQ68+3,AQ68)&gt;50,"",IF(COUNTIF(AQ4:AQ70,AQ68)&gt;=MAX(D4:D8),AQ68+3,AQ68))</f>
        <v>#VALUE!</v>
      </c>
      <c r="AR71" s="1" t="e">
        <f>IF(AQ71="","",VLOOKUP(AQ71,S4:U53,3,0))</f>
        <v>#VALUE!</v>
      </c>
      <c r="AS71" s="8" t="str">
        <f t="shared" si="76"/>
        <v/>
      </c>
      <c r="AU71" s="71" t="e">
        <f t="shared" si="77"/>
        <v>#VALUE!</v>
      </c>
      <c r="AV71" s="71" t="str">
        <f>IF(OR(COUNTBLANK(AY71)=1,ISERROR(AY71)),"",COUNT(AY4:AY71))</f>
        <v/>
      </c>
      <c r="AW71" s="7" t="e">
        <f t="shared" si="78"/>
        <v>#VALUE!</v>
      </c>
      <c r="AX71" s="1" t="str">
        <f>IF(ISERROR(INDEX(C4:C8,MATCH(I71,D4:D8,0))),"",INDEX(C4:C8,MATCH(I71,D4:D8,0)))</f>
        <v/>
      </c>
      <c r="AY71" s="79" t="e">
        <f>IF(IF(COUNTIF(AY4:AY70,AY67)&gt;=MAX(D4:D8),AY67+4,AY67)&gt;50,"",IF(COUNTIF(AY4:AY70,AY67)&gt;=MAX(D4:D8),AY67+4,AY67))</f>
        <v>#VALUE!</v>
      </c>
      <c r="AZ71" s="76" t="e">
        <f>IF(AY71="","",VLOOKUP(AY71,S4:U53,3,0))</f>
        <v>#VALUE!</v>
      </c>
      <c r="BA71" s="8" t="str">
        <f t="shared" si="79"/>
        <v/>
      </c>
      <c r="BC71" s="71" t="e">
        <f t="shared" si="80"/>
        <v>#VALUE!</v>
      </c>
      <c r="BD71" s="71" t="str">
        <f>IF(OR(COUNTBLANK(BG71)=1,ISERROR(BG71)),"",COUNT(BG4:BG71))</f>
        <v/>
      </c>
      <c r="BE71" s="7" t="e">
        <f t="shared" si="81"/>
        <v>#VALUE!</v>
      </c>
      <c r="BF71" s="1" t="str">
        <f>IF(ISERROR(INDEX(C4:C8,MATCH(J71,D4:D8,0))),"",INDEX(C4:C8,MATCH(J71,D4:D8,0)))</f>
        <v/>
      </c>
      <c r="BG71" s="79" t="e">
        <f>IF(IF(COUNTIF(BG4:BG70,BG66)&gt;=MAX(D4:D8),BG66+5,BG66)&gt;50,"",IF(COUNTIF(BG4:BG70,BG66)&gt;=MAX(D4:D8),BG66+5,BG66))</f>
        <v>#VALUE!</v>
      </c>
      <c r="BH71" s="76" t="e">
        <f>IF(BG71="","",VLOOKUP(BG71,S4:U53,3,0))</f>
        <v>#VALUE!</v>
      </c>
      <c r="BI71" s="8" t="str">
        <f t="shared" si="82"/>
        <v/>
      </c>
      <c r="BP71" s="71" t="e">
        <f>IF(BT71="","",BT71*10+3)</f>
        <v>#VALUE!</v>
      </c>
      <c r="BQ71" s="71" t="str">
        <f>IF(OR(COUNTBLANK(BT71)=1,ISERROR(BT71)),"",COUNT(BT4:BT71))</f>
        <v/>
      </c>
      <c r="BR71" s="7" t="e">
        <f t="shared" si="84"/>
        <v>#VALUE!</v>
      </c>
      <c r="BS71" s="1" t="str">
        <f t="shared" si="85"/>
        <v/>
      </c>
      <c r="BT71" s="79" t="e">
        <f>IF(IF(COUNTIF($BT$4:BT70,BT70)&gt;=MAX($D$4:$D$8),BT70+1,BT70)&gt;55,"",IF(COUNTIF($BT$4:BT70,BT70)&gt;=MAX($D$4:$D$8),BT70+1,BT70))</f>
        <v>#VALUE!</v>
      </c>
      <c r="BU71" s="1" t="e">
        <f t="shared" si="86"/>
        <v>#VALUE!</v>
      </c>
      <c r="BV71" s="8" t="str">
        <f t="shared" si="87"/>
        <v/>
      </c>
      <c r="BX71" s="71" t="e">
        <f t="shared" si="88"/>
        <v>#VALUE!</v>
      </c>
      <c r="BY71" s="71" t="str">
        <f>IF(OR(COUNTBLANK(CB71)=1,ISERROR(CB71)),"",COUNT($CB$4:CB71))</f>
        <v/>
      </c>
      <c r="BZ71" s="7" t="e">
        <f t="shared" si="89"/>
        <v>#VALUE!</v>
      </c>
      <c r="CA71" s="1" t="str">
        <f t="shared" si="90"/>
        <v/>
      </c>
      <c r="CB71" s="79" t="e">
        <f>IF(IF(COUNTIF($CB$4:CB70,CB69)&gt;=MAX($D$4:$D$8),CB69+2,CB69)&gt;55,"",IF(COUNTIF($CB$4:CB70,CB69)&gt;=MAX($D$4:$D$8),CB69+2,CB69))</f>
        <v>#VALUE!</v>
      </c>
      <c r="CC71" s="1" t="e">
        <f t="shared" si="91"/>
        <v>#VALUE!</v>
      </c>
      <c r="CD71" s="8" t="str">
        <f t="shared" si="92"/>
        <v/>
      </c>
      <c r="CF71" s="71" t="e">
        <f t="shared" si="61"/>
        <v>#VALUE!</v>
      </c>
      <c r="CG71" s="71" t="str">
        <f>IF(OR(COUNTBLANK(CJ71)=1,ISERROR(CJ71)),"",COUNT($CJ$4:CJ71))</f>
        <v/>
      </c>
      <c r="CH71" s="7" t="e">
        <f t="shared" si="62"/>
        <v>#VALUE!</v>
      </c>
      <c r="CI71" s="1" t="str">
        <f t="shared" si="63"/>
        <v/>
      </c>
      <c r="CJ71" s="79" t="e">
        <f>IF(IF(COUNTIF($CJ$4:CJ70,CJ68)&gt;=MAX($D$4:$D$8),CJ68+3,CJ68)&gt;55,"",IF(COUNTIF($CJ$4:CJ70,CJ68)&gt;=MAX($D$4:$D$8),CJ68+3,CJ68))</f>
        <v>#VALUE!</v>
      </c>
      <c r="CK71" s="1" t="e">
        <f t="shared" si="93"/>
        <v>#VALUE!</v>
      </c>
      <c r="CL71" s="8" t="str">
        <f t="shared" si="64"/>
        <v/>
      </c>
      <c r="CN71" s="71" t="e">
        <f t="shared" si="51"/>
        <v>#VALUE!</v>
      </c>
      <c r="CO71" s="71" t="str">
        <f>IF(OR(COUNTBLANK(CR71)=1,ISERROR(CR71)),"",COUNT($CR$4:CR71))</f>
        <v/>
      </c>
      <c r="CP71" s="7" t="e">
        <f t="shared" si="52"/>
        <v>#VALUE!</v>
      </c>
      <c r="CQ71" s="1" t="str">
        <f t="shared" si="53"/>
        <v/>
      </c>
      <c r="CR71" s="79" t="e">
        <f>IF(IF(COUNTIF($CR$4:CR70,CR67)&gt;=MAX($D$4:$D$8),CR67+4,CR67)&gt;55,"",IF(COUNTIF($CR$4:CR70,CR67)&gt;=MAX($D$4:$D$8),CR67+4,CR67))</f>
        <v>#VALUE!</v>
      </c>
      <c r="CS71" s="1" t="e">
        <f t="shared" si="94"/>
        <v>#VALUE!</v>
      </c>
      <c r="CT71" s="8" t="str">
        <f t="shared" si="54"/>
        <v/>
      </c>
      <c r="CV71" s="71" t="e">
        <f t="shared" si="65"/>
        <v>#VALUE!</v>
      </c>
      <c r="CW71" s="71" t="str">
        <f>IF(OR(COUNTBLANK(CZ71)=1,ISERROR(CZ71)),"",COUNT($CZ$4:CZ71))</f>
        <v/>
      </c>
      <c r="CX71" s="7" t="e">
        <f t="shared" si="66"/>
        <v>#VALUE!</v>
      </c>
      <c r="CY71" s="1" t="str">
        <f t="shared" si="67"/>
        <v/>
      </c>
      <c r="CZ71" s="79" t="e">
        <f>IF(IF(COUNTIF($CZ$4:CZ70,CZ66)&gt;=MAX($D$4:$D$8),CZ66+5,CZ66)&gt;55,"",IF(COUNTIF($CZ$4:CZ70,CZ66)&gt;=MAX($D$4:$D$8),CZ66+5,CZ66))</f>
        <v>#VALUE!</v>
      </c>
      <c r="DA71" s="1" t="e">
        <f t="shared" si="95"/>
        <v>#VALUE!</v>
      </c>
      <c r="DB71" s="8" t="str">
        <f t="shared" si="68"/>
        <v/>
      </c>
    </row>
    <row r="72" spans="5:106" x14ac:dyDescent="0.15">
      <c r="E72" s="1">
        <v>69</v>
      </c>
      <c r="F72" s="1">
        <f t="shared" si="96"/>
        <v>1</v>
      </c>
      <c r="G72" s="1">
        <f t="shared" si="60"/>
        <v>1</v>
      </c>
      <c r="H72" s="1">
        <f t="shared" ref="H72:H135" si="97">IF(H69+1&gt;MAX($D$4:$D$8),1,H69+1)</f>
        <v>1</v>
      </c>
      <c r="I72" s="1">
        <f t="shared" si="50"/>
        <v>1</v>
      </c>
      <c r="J72" s="1">
        <f t="shared" si="55"/>
        <v>1</v>
      </c>
      <c r="L72" s="1" t="str">
        <f>IF(ISERROR(HLOOKUP($C$10,$F$3:$J$253,70,0)),"",HLOOKUP($C$10,$F$3:$J$253,70,0))</f>
        <v/>
      </c>
      <c r="W72" s="71" t="e">
        <f>IF(AA72="","",AA72*10+4)</f>
        <v>#VALUE!</v>
      </c>
      <c r="X72" s="71" t="str">
        <f>IF(OR(COUNTBLANK(AA72)=1,ISERROR(AA72)),"",COUNT(AA4:AA72))</f>
        <v/>
      </c>
      <c r="Y72" s="7" t="e">
        <f t="shared" si="69"/>
        <v>#VALUE!</v>
      </c>
      <c r="Z72" s="1" t="str">
        <f t="shared" si="83"/>
        <v/>
      </c>
      <c r="AA72" s="79" t="e">
        <f>IF(IF(COUNTIF(AA4:AA71,AA71)&gt;=MAX(D4:D8),AA71+1,AA71)&gt;50,"",IF(COUNTIF(AA4:AA71,AA71)&gt;=MAX(D4:D8),AA71+1,AA71))</f>
        <v>#VALUE!</v>
      </c>
      <c r="AB72" s="1" t="e">
        <f>IF(AA72="","",VLOOKUP(AA72,S4:U53,3,0))</f>
        <v>#VALUE!</v>
      </c>
      <c r="AC72" s="8" t="str">
        <f t="shared" si="70"/>
        <v/>
      </c>
      <c r="AE72" s="71" t="e">
        <f t="shared" si="71"/>
        <v>#VALUE!</v>
      </c>
      <c r="AF72" s="71" t="str">
        <f>IF(OR(COUNTBLANK(AI72)=1,ISERROR(AI72)),"",COUNT(AI4:AI72))</f>
        <v/>
      </c>
      <c r="AG72" s="7" t="e">
        <f t="shared" si="72"/>
        <v>#VALUE!</v>
      </c>
      <c r="AH72" s="1" t="str">
        <f>IF(ISERROR(INDEX(C4:C8,MATCH(G72,D4:D8,0))),"",INDEX(C4:C8,MATCH(G72,D4:D8,0)))</f>
        <v/>
      </c>
      <c r="AI72" s="79" t="e">
        <f>IF(IF(COUNTIF(AI4:AI71,AI70)&gt;=MAX(D4:D8),AI70+2,AI70)&gt;50,"",IF(COUNTIF(AI4:AI71,AI70)&gt;=MAX(D4:D8),AI70+2,AI70))</f>
        <v>#VALUE!</v>
      </c>
      <c r="AJ72" s="1" t="e">
        <f>IF(AI72="","",VLOOKUP(AI72,S4:U53,3,0))</f>
        <v>#VALUE!</v>
      </c>
      <c r="AK72" s="8" t="str">
        <f t="shared" si="73"/>
        <v/>
      </c>
      <c r="AM72" s="71" t="e">
        <f t="shared" si="74"/>
        <v>#VALUE!</v>
      </c>
      <c r="AN72" s="71" t="str">
        <f>IF(OR(COUNTBLANK(AQ72)=1,ISERROR(AQ72)),"",COUNT(AQ4:AQ72))</f>
        <v/>
      </c>
      <c r="AO72" s="7" t="e">
        <f t="shared" si="75"/>
        <v>#VALUE!</v>
      </c>
      <c r="AP72" s="1" t="str">
        <f>IF(ISERROR(INDEX(C4:C8,MATCH(H72,D4:D8,0))),"",INDEX(C4:C8,MATCH(H72,D4:D8,0)))</f>
        <v/>
      </c>
      <c r="AQ72" s="79" t="e">
        <f>IF(IF(COUNTIF(AQ4:AQ71,AQ69)&gt;=MAX(D4:D8),AQ69+3,AQ69)&gt;50,"",IF(COUNTIF(AQ4:AQ71,AQ69)&gt;=MAX(D4:D8),AQ69+3,AQ69))</f>
        <v>#VALUE!</v>
      </c>
      <c r="AR72" s="1" t="e">
        <f>IF(AQ72="","",VLOOKUP(AQ72,S4:U53,3,0))</f>
        <v>#VALUE!</v>
      </c>
      <c r="AS72" s="8" t="str">
        <f t="shared" si="76"/>
        <v/>
      </c>
      <c r="AU72" s="71" t="e">
        <f t="shared" si="77"/>
        <v>#VALUE!</v>
      </c>
      <c r="AV72" s="71" t="str">
        <f>IF(OR(COUNTBLANK(AY72)=1,ISERROR(AY72)),"",COUNT(AY4:AY72))</f>
        <v/>
      </c>
      <c r="AW72" s="7" t="e">
        <f t="shared" si="78"/>
        <v>#VALUE!</v>
      </c>
      <c r="AX72" s="1" t="str">
        <f>IF(ISERROR(INDEX(C4:C8,MATCH(I72,D4:D8,0))),"",INDEX(C4:C8,MATCH(I72,D4:D8,0)))</f>
        <v/>
      </c>
      <c r="AY72" s="79" t="e">
        <f>IF(IF(COUNTIF(AY4:AY71,AY68)&gt;=MAX(D4:D8),AY68+4,AY68)&gt;50,"",IF(COUNTIF(AY4:AY71,AY68)&gt;=MAX(D4:D8),AY68+4,AY68))</f>
        <v>#VALUE!</v>
      </c>
      <c r="AZ72" s="76" t="e">
        <f>IF(AY72="","",VLOOKUP(AY72,S4:U53,3,0))</f>
        <v>#VALUE!</v>
      </c>
      <c r="BA72" s="8" t="str">
        <f t="shared" si="79"/>
        <v/>
      </c>
      <c r="BC72" s="71" t="e">
        <f t="shared" si="80"/>
        <v>#VALUE!</v>
      </c>
      <c r="BD72" s="71" t="str">
        <f>IF(OR(COUNTBLANK(BG72)=1,ISERROR(BG72)),"",COUNT(BG4:BG72))</f>
        <v/>
      </c>
      <c r="BE72" s="7" t="e">
        <f t="shared" si="81"/>
        <v>#VALUE!</v>
      </c>
      <c r="BF72" s="1" t="str">
        <f>IF(ISERROR(INDEX(C4:C8,MATCH(J72,D4:D8,0))),"",INDEX(C4:C8,MATCH(J72,D4:D8,0)))</f>
        <v/>
      </c>
      <c r="BG72" s="79" t="e">
        <f>IF(IF(COUNTIF(BG4:BG71,BG67)&gt;=MAX(D4:D8),BG67+5,BG67)&gt;50,"",IF(COUNTIF(BG4:BG71,BG67)&gt;=MAX(D4:D8),BG67+5,BG67))</f>
        <v>#VALUE!</v>
      </c>
      <c r="BH72" s="76" t="e">
        <f>IF(BG72="","",VLOOKUP(BG72,S4:U53,3,0))</f>
        <v>#VALUE!</v>
      </c>
      <c r="BI72" s="8" t="str">
        <f t="shared" si="82"/>
        <v/>
      </c>
      <c r="BP72" s="71" t="e">
        <f>IF(BT72="","",BT72*10+4)</f>
        <v>#VALUE!</v>
      </c>
      <c r="BQ72" s="71" t="str">
        <f>IF(OR(COUNTBLANK(BT72)=1,ISERROR(BT72)),"",COUNT(BT4:BT72))</f>
        <v/>
      </c>
      <c r="BR72" s="7" t="e">
        <f t="shared" si="84"/>
        <v>#VALUE!</v>
      </c>
      <c r="BS72" s="1" t="str">
        <f t="shared" si="85"/>
        <v/>
      </c>
      <c r="BT72" s="79" t="e">
        <f>IF(IF(COUNTIF($BT$4:BT71,BT71)&gt;=MAX($D$4:$D$8),BT71+1,BT71)&gt;55,"",IF(COUNTIF($BT$4:BT71,BT71)&gt;=MAX($D$4:$D$8),BT71+1,BT71))</f>
        <v>#VALUE!</v>
      </c>
      <c r="BU72" s="1" t="e">
        <f t="shared" si="86"/>
        <v>#VALUE!</v>
      </c>
      <c r="BV72" s="8" t="str">
        <f t="shared" si="87"/>
        <v/>
      </c>
      <c r="BX72" s="71" t="e">
        <f t="shared" si="88"/>
        <v>#VALUE!</v>
      </c>
      <c r="BY72" s="71" t="str">
        <f>IF(OR(COUNTBLANK(CB72)=1,ISERROR(CB72)),"",COUNT($CB$4:CB72))</f>
        <v/>
      </c>
      <c r="BZ72" s="7" t="e">
        <f t="shared" si="89"/>
        <v>#VALUE!</v>
      </c>
      <c r="CA72" s="1" t="str">
        <f t="shared" si="90"/>
        <v/>
      </c>
      <c r="CB72" s="79" t="e">
        <f>IF(IF(COUNTIF($CB$4:CB71,CB70)&gt;=MAX($D$4:$D$8),CB70+2,CB70)&gt;55,"",IF(COUNTIF($CB$4:CB71,CB70)&gt;=MAX($D$4:$D$8),CB70+2,CB70))</f>
        <v>#VALUE!</v>
      </c>
      <c r="CC72" s="1" t="e">
        <f t="shared" si="91"/>
        <v>#VALUE!</v>
      </c>
      <c r="CD72" s="8" t="str">
        <f t="shared" si="92"/>
        <v/>
      </c>
      <c r="CF72" s="71" t="e">
        <f t="shared" si="61"/>
        <v>#VALUE!</v>
      </c>
      <c r="CG72" s="71" t="str">
        <f>IF(OR(COUNTBLANK(CJ72)=1,ISERROR(CJ72)),"",COUNT($CJ$4:CJ72))</f>
        <v/>
      </c>
      <c r="CH72" s="7" t="e">
        <f t="shared" si="62"/>
        <v>#VALUE!</v>
      </c>
      <c r="CI72" s="1" t="str">
        <f t="shared" si="63"/>
        <v/>
      </c>
      <c r="CJ72" s="79" t="e">
        <f>IF(IF(COUNTIF($CJ$4:CJ71,CJ69)&gt;=MAX($D$4:$D$8),CJ69+3,CJ69)&gt;55,"",IF(COUNTIF($CJ$4:CJ71,CJ69)&gt;=MAX($D$4:$D$8),CJ69+3,CJ69))</f>
        <v>#VALUE!</v>
      </c>
      <c r="CK72" s="1" t="e">
        <f t="shared" si="93"/>
        <v>#VALUE!</v>
      </c>
      <c r="CL72" s="8" t="str">
        <f t="shared" si="64"/>
        <v/>
      </c>
      <c r="CN72" s="71" t="e">
        <f t="shared" si="51"/>
        <v>#VALUE!</v>
      </c>
      <c r="CO72" s="71" t="str">
        <f>IF(OR(COUNTBLANK(CR72)=1,ISERROR(CR72)),"",COUNT($CR$4:CR72))</f>
        <v/>
      </c>
      <c r="CP72" s="7" t="e">
        <f t="shared" si="52"/>
        <v>#VALUE!</v>
      </c>
      <c r="CQ72" s="1" t="str">
        <f t="shared" si="53"/>
        <v/>
      </c>
      <c r="CR72" s="79" t="e">
        <f>IF(IF(COUNTIF($CR$4:CR71,CR68)&gt;=MAX($D$4:$D$8),CR68+4,CR68)&gt;55,"",IF(COUNTIF($CR$4:CR71,CR68)&gt;=MAX($D$4:$D$8),CR68+4,CR68))</f>
        <v>#VALUE!</v>
      </c>
      <c r="CS72" s="1" t="e">
        <f t="shared" si="94"/>
        <v>#VALUE!</v>
      </c>
      <c r="CT72" s="8" t="str">
        <f t="shared" si="54"/>
        <v/>
      </c>
      <c r="CV72" s="71" t="e">
        <f t="shared" si="65"/>
        <v>#VALUE!</v>
      </c>
      <c r="CW72" s="71" t="str">
        <f>IF(OR(COUNTBLANK(CZ72)=1,ISERROR(CZ72)),"",COUNT($CZ$4:CZ72))</f>
        <v/>
      </c>
      <c r="CX72" s="7" t="e">
        <f t="shared" si="66"/>
        <v>#VALUE!</v>
      </c>
      <c r="CY72" s="1" t="str">
        <f t="shared" si="67"/>
        <v/>
      </c>
      <c r="CZ72" s="79" t="e">
        <f>IF(IF(COUNTIF($CZ$4:CZ71,CZ67)&gt;=MAX($D$4:$D$8),CZ67+5,CZ67)&gt;55,"",IF(COUNTIF($CZ$4:CZ71,CZ67)&gt;=MAX($D$4:$D$8),CZ67+5,CZ67))</f>
        <v>#VALUE!</v>
      </c>
      <c r="DA72" s="1" t="e">
        <f t="shared" si="95"/>
        <v>#VALUE!</v>
      </c>
      <c r="DB72" s="8" t="str">
        <f t="shared" si="68"/>
        <v/>
      </c>
    </row>
    <row r="73" spans="5:106" x14ac:dyDescent="0.15">
      <c r="E73" s="1">
        <v>70</v>
      </c>
      <c r="F73" s="1">
        <f t="shared" si="96"/>
        <v>1</v>
      </c>
      <c r="G73" s="1">
        <f t="shared" si="60"/>
        <v>1</v>
      </c>
      <c r="H73" s="1">
        <f t="shared" si="97"/>
        <v>1</v>
      </c>
      <c r="I73" s="1">
        <f t="shared" ref="I73:I136" si="98">IF(I69+1&gt;MAX($D$4:$D$8),1,I69+1)</f>
        <v>1</v>
      </c>
      <c r="J73" s="1">
        <f t="shared" si="55"/>
        <v>1</v>
      </c>
      <c r="L73" s="1" t="str">
        <f>IF(ISERROR(HLOOKUP($C$10,$F$3:$J$253,71,0)),"",HLOOKUP($C$10,$F$3:$J$253,71,0))</f>
        <v/>
      </c>
      <c r="W73" s="71" t="e">
        <f>IF(AA73="","",AA73*10+5)</f>
        <v>#VALUE!</v>
      </c>
      <c r="X73" s="71" t="str">
        <f>IF(OR(COUNTBLANK(AA73)=1,ISERROR(AA73)),"",COUNT(AA4:AA73))</f>
        <v/>
      </c>
      <c r="Y73" s="7" t="e">
        <f t="shared" si="69"/>
        <v>#VALUE!</v>
      </c>
      <c r="Z73" s="1" t="str">
        <f t="shared" si="83"/>
        <v/>
      </c>
      <c r="AA73" s="79" t="e">
        <f>IF(IF(COUNTIF(AA4:AA72,AA72)&gt;=MAX(D4:D8),AA72+1,AA72)&gt;50,"",IF(COUNTIF(AA4:AA72,AA72)&gt;=MAX(D4:D8),AA72+1,AA72))</f>
        <v>#VALUE!</v>
      </c>
      <c r="AB73" s="1" t="e">
        <f>IF(AA73="","",VLOOKUP(AA73,S4:U53,3,0))</f>
        <v>#VALUE!</v>
      </c>
      <c r="AC73" s="8" t="str">
        <f t="shared" si="70"/>
        <v/>
      </c>
      <c r="AE73" s="71" t="e">
        <f t="shared" si="71"/>
        <v>#VALUE!</v>
      </c>
      <c r="AF73" s="71" t="str">
        <f>IF(OR(COUNTBLANK(AI73)=1,ISERROR(AI73)),"",COUNT(AI4:AI73))</f>
        <v/>
      </c>
      <c r="AG73" s="7" t="e">
        <f t="shared" si="72"/>
        <v>#VALUE!</v>
      </c>
      <c r="AH73" s="1" t="str">
        <f>IF(ISERROR(INDEX(C4:C8,MATCH(G73,D4:D8,0))),"",INDEX(C4:C8,MATCH(G73,D4:D8,0)))</f>
        <v/>
      </c>
      <c r="AI73" s="79" t="e">
        <f>IF(IF(COUNTIF(AI4:AI71,AI71)&gt;=MAX(D4:D8),AI71+2,AI71)&gt;50,"",IF(COUNTIF(AI4:AI71,AI71)&gt;=MAX(D4:D8),AI71+2,AI71))</f>
        <v>#VALUE!</v>
      </c>
      <c r="AJ73" s="1" t="e">
        <f>IF(AI73="","",VLOOKUP(AI73,S4:U53,3,0))</f>
        <v>#VALUE!</v>
      </c>
      <c r="AK73" s="8" t="str">
        <f t="shared" si="73"/>
        <v/>
      </c>
      <c r="AM73" s="71" t="e">
        <f t="shared" si="74"/>
        <v>#VALUE!</v>
      </c>
      <c r="AN73" s="71" t="str">
        <f>IF(OR(COUNTBLANK(AQ73)=1,ISERROR(AQ73)),"",COUNT(AQ4:AQ73))</f>
        <v/>
      </c>
      <c r="AO73" s="7" t="e">
        <f t="shared" si="75"/>
        <v>#VALUE!</v>
      </c>
      <c r="AP73" s="1" t="str">
        <f>IF(ISERROR(INDEX(C4:C8,MATCH(H73,D4:D8,0))),"",INDEX(C4:C8,MATCH(H73,D4:D8,0)))</f>
        <v/>
      </c>
      <c r="AQ73" s="79" t="e">
        <f>IF(IF(COUNTIF(AQ4:AQ72,AQ70)&gt;=MAX(D4:D8),AQ70+3,AQ70)&gt;50,"",IF(COUNTIF(AQ4:AQ72,AQ70)&gt;=MAX(D4:D8),AQ70+3,AQ70))</f>
        <v>#VALUE!</v>
      </c>
      <c r="AR73" s="1" t="e">
        <f>IF(AQ73="","",VLOOKUP(AQ73,S4:U53,3,0))</f>
        <v>#VALUE!</v>
      </c>
      <c r="AS73" s="8" t="str">
        <f t="shared" si="76"/>
        <v/>
      </c>
      <c r="AU73" s="71" t="e">
        <f t="shared" si="77"/>
        <v>#VALUE!</v>
      </c>
      <c r="AV73" s="71" t="str">
        <f>IF(OR(COUNTBLANK(AY73)=1,ISERROR(AY73)),"",COUNT(AY4:AY73))</f>
        <v/>
      </c>
      <c r="AW73" s="7" t="e">
        <f t="shared" si="78"/>
        <v>#VALUE!</v>
      </c>
      <c r="AX73" s="1" t="str">
        <f>IF(ISERROR(INDEX(C4:C8,MATCH(I73,D4:D8,0))),"",INDEX(C4:C8,MATCH(I73,D4:D8,0)))</f>
        <v/>
      </c>
      <c r="AY73" s="79" t="e">
        <f>IF(IF(COUNTIF(AY4:AY72,AY69)&gt;=MAX(D4:D8),AY69+4,AY69)&gt;50,"",IF(COUNTIF(AY4:AY72,AY69)&gt;=MAX(D4:D8),AY69+4,AY69))</f>
        <v>#VALUE!</v>
      </c>
      <c r="AZ73" s="76" t="e">
        <f>IF(AY73="","",VLOOKUP(AY73,S4:U53,3,0))</f>
        <v>#VALUE!</v>
      </c>
      <c r="BA73" s="8" t="str">
        <f t="shared" si="79"/>
        <v/>
      </c>
      <c r="BC73" s="71" t="e">
        <f t="shared" si="80"/>
        <v>#VALUE!</v>
      </c>
      <c r="BD73" s="71" t="str">
        <f>IF(OR(COUNTBLANK(BG73)=1,ISERROR(BG73)),"",COUNT(BG4:BG73))</f>
        <v/>
      </c>
      <c r="BE73" s="7" t="e">
        <f t="shared" si="81"/>
        <v>#VALUE!</v>
      </c>
      <c r="BF73" s="1" t="str">
        <f>IF(ISERROR(INDEX(C4:C8,MATCH(J73,D4:D8,0))),"",INDEX(C4:C8,MATCH(J73,D4:D8,0)))</f>
        <v/>
      </c>
      <c r="BG73" s="79" t="e">
        <f>IF(IF(COUNTIF(BG4:BG72,BG68)&gt;=MAX(D4:D8),BG68+5,BG68)&gt;50,"",IF(COUNTIF(BG4:BG72,BG68)&gt;=MAX(D4:D8),BG68+5,BG68))</f>
        <v>#VALUE!</v>
      </c>
      <c r="BH73" s="76" t="e">
        <f>IF(BG73="","",VLOOKUP(BG73,S4:U53,3,0))</f>
        <v>#VALUE!</v>
      </c>
      <c r="BI73" s="8" t="str">
        <f t="shared" si="82"/>
        <v/>
      </c>
      <c r="BP73" s="71" t="e">
        <f>IF(BT73="","",BT73*10+5)</f>
        <v>#VALUE!</v>
      </c>
      <c r="BQ73" s="71" t="str">
        <f>IF(OR(COUNTBLANK(BT73)=1,ISERROR(BT73)),"",COUNT(BT4:BT73))</f>
        <v/>
      </c>
      <c r="BR73" s="7" t="e">
        <f t="shared" si="84"/>
        <v>#VALUE!</v>
      </c>
      <c r="BS73" s="1" t="str">
        <f t="shared" si="85"/>
        <v/>
      </c>
      <c r="BT73" s="79" t="e">
        <f>IF(IF(COUNTIF($BT$4:BT72,BT72)&gt;=MAX($D$4:$D$8),BT72+1,BT72)&gt;55,"",IF(COUNTIF($BT$4:BT72,BT72)&gt;=MAX($D$4:$D$8),BT72+1,BT72))</f>
        <v>#VALUE!</v>
      </c>
      <c r="BU73" s="1" t="e">
        <f t="shared" si="86"/>
        <v>#VALUE!</v>
      </c>
      <c r="BV73" s="8" t="str">
        <f t="shared" si="87"/>
        <v/>
      </c>
      <c r="BX73" s="71" t="e">
        <f t="shared" si="88"/>
        <v>#VALUE!</v>
      </c>
      <c r="BY73" s="71" t="str">
        <f>IF(OR(COUNTBLANK(CB73)=1,ISERROR(CB73)),"",COUNT($CB$4:CB73))</f>
        <v/>
      </c>
      <c r="BZ73" s="7" t="e">
        <f t="shared" si="89"/>
        <v>#VALUE!</v>
      </c>
      <c r="CA73" s="1" t="str">
        <f t="shared" si="90"/>
        <v/>
      </c>
      <c r="CB73" s="79" t="e">
        <f>IF(IF(COUNTIF($CB$4:CB72,CB71)&gt;=MAX($D$4:$D$8),CB71+2,CB71)&gt;55,"",IF(COUNTIF($CB$4:CB72,CB71)&gt;=MAX($D$4:$D$8),CB71+2,CB71))</f>
        <v>#VALUE!</v>
      </c>
      <c r="CC73" s="1" t="e">
        <f t="shared" si="91"/>
        <v>#VALUE!</v>
      </c>
      <c r="CD73" s="8" t="str">
        <f t="shared" si="92"/>
        <v/>
      </c>
      <c r="CF73" s="71" t="e">
        <f t="shared" si="61"/>
        <v>#VALUE!</v>
      </c>
      <c r="CG73" s="71" t="str">
        <f>IF(OR(COUNTBLANK(CJ73)=1,ISERROR(CJ73)),"",COUNT($CJ$4:CJ73))</f>
        <v/>
      </c>
      <c r="CH73" s="7" t="e">
        <f t="shared" si="62"/>
        <v>#VALUE!</v>
      </c>
      <c r="CI73" s="1" t="str">
        <f t="shared" si="63"/>
        <v/>
      </c>
      <c r="CJ73" s="79" t="e">
        <f>IF(IF(COUNTIF($CJ$4:CJ72,CJ70)&gt;=MAX($D$4:$D$8),CJ70+3,CJ70)&gt;55,"",IF(COUNTIF($CJ$4:CJ72,CJ70)&gt;=MAX($D$4:$D$8),CJ70+3,CJ70))</f>
        <v>#VALUE!</v>
      </c>
      <c r="CK73" s="1" t="e">
        <f t="shared" si="93"/>
        <v>#VALUE!</v>
      </c>
      <c r="CL73" s="8" t="str">
        <f t="shared" si="64"/>
        <v/>
      </c>
      <c r="CN73" s="71" t="e">
        <f t="shared" ref="CN73:CN136" si="99">IF(CR73="","",CR73*10+I73)</f>
        <v>#VALUE!</v>
      </c>
      <c r="CO73" s="71" t="str">
        <f>IF(OR(COUNTBLANK(CR73)=1,ISERROR(CR73)),"",COUNT($CR$4:CR73))</f>
        <v/>
      </c>
      <c r="CP73" s="7" t="e">
        <f t="shared" ref="CP73:CP136" si="100">IF(CR73&gt;25,"ナビ・","1・2年のWナビ・")</f>
        <v>#VALUE!</v>
      </c>
      <c r="CQ73" s="1" t="str">
        <f t="shared" ref="CQ73:CQ136" si="101">IF(ISERROR(INDEX($C$4:$C$8,MATCH(I73,$D$4:$D$8,0))),"",INDEX($C$4:$C$8,MATCH(I73,$D$4:$D$8,0)))</f>
        <v/>
      </c>
      <c r="CR73" s="79" t="e">
        <f>IF(IF(COUNTIF($CR$4:CR72,CR69)&gt;=MAX($D$4:$D$8),CR69+4,CR69)&gt;55,"",IF(COUNTIF($CR$4:CR72,CR69)&gt;=MAX($D$4:$D$8),CR69+4,CR69))</f>
        <v>#VALUE!</v>
      </c>
      <c r="CS73" s="1" t="e">
        <f t="shared" si="94"/>
        <v>#VALUE!</v>
      </c>
      <c r="CT73" s="8" t="str">
        <f t="shared" ref="CT73:CT136" si="102">IF(ISERROR(IF(COUNTIF(CQ73:CS73,"")&gt;=1,"",CP73&amp;CQ73&amp;"【"&amp;VLOOKUP(CR73,$BL$4:$BN$58,2,0)&amp;"】"&amp;CS73)),"",IF(COUNTIF(CQ73:CS73,"")&gt;=1,"",CP73&amp;CQ73&amp;"【"&amp;VLOOKUP(CR73,$BL$4:$BN$58,2,0)&amp;"】"&amp;CS73))</f>
        <v/>
      </c>
      <c r="CV73" s="71" t="e">
        <f t="shared" si="65"/>
        <v>#VALUE!</v>
      </c>
      <c r="CW73" s="71" t="str">
        <f>IF(OR(COUNTBLANK(CZ73)=1,ISERROR(CZ73)),"",COUNT($CZ$4:CZ73))</f>
        <v/>
      </c>
      <c r="CX73" s="7" t="e">
        <f t="shared" si="66"/>
        <v>#VALUE!</v>
      </c>
      <c r="CY73" s="1" t="str">
        <f t="shared" si="67"/>
        <v/>
      </c>
      <c r="CZ73" s="79" t="e">
        <f>IF(IF(COUNTIF($CZ$4:CZ72,CZ68)&gt;=MAX($D$4:$D$8),CZ68+5,CZ68)&gt;55,"",IF(COUNTIF($CZ$4:CZ72,CZ68)&gt;=MAX($D$4:$D$8),CZ68+5,CZ68))</f>
        <v>#VALUE!</v>
      </c>
      <c r="DA73" s="1" t="e">
        <f t="shared" si="95"/>
        <v>#VALUE!</v>
      </c>
      <c r="DB73" s="8" t="str">
        <f t="shared" si="68"/>
        <v/>
      </c>
    </row>
    <row r="74" spans="5:106" x14ac:dyDescent="0.15">
      <c r="E74" s="1">
        <v>71</v>
      </c>
      <c r="F74" s="1">
        <f t="shared" si="96"/>
        <v>1</v>
      </c>
      <c r="G74" s="1">
        <f t="shared" ref="G74:G137" si="103">IF(G72+1&gt;MAX($D$4:$D$8),1,G72+1)</f>
        <v>1</v>
      </c>
      <c r="H74" s="1">
        <f t="shared" si="97"/>
        <v>1</v>
      </c>
      <c r="I74" s="1">
        <f t="shared" si="98"/>
        <v>1</v>
      </c>
      <c r="J74" s="1">
        <f t="shared" ref="J74:J137" si="104">IF(J69+1&gt;MAX($D$4:$D$8),1,J69+1)</f>
        <v>1</v>
      </c>
      <c r="L74" s="1" t="str">
        <f>IF(ISERROR(HLOOKUP($C$10,$F$3:$J$253,72,0)),"",HLOOKUP($C$10,$F$3:$J$253,72,0))</f>
        <v/>
      </c>
      <c r="W74" s="71" t="e">
        <f>IF(AA74="","",AA74*10+1)</f>
        <v>#VALUE!</v>
      </c>
      <c r="X74" s="71" t="str">
        <f>IF(OR(COUNTBLANK(AA74)=1,ISERROR(AA74)),"",COUNT(AA4:AA74))</f>
        <v/>
      </c>
      <c r="Y74" s="7" t="e">
        <f t="shared" si="69"/>
        <v>#VALUE!</v>
      </c>
      <c r="Z74" s="1" t="str">
        <f t="shared" si="83"/>
        <v/>
      </c>
      <c r="AA74" s="79" t="e">
        <f>IF(IF(COUNTIF(AA4:AA73,AA73)&gt;=MAX(D4:D8),AA73+1,AA73)&gt;50,"",IF(COUNTIF(AA4:AA73,AA73)&gt;=MAX(D4:D8),AA73+1,AA73))</f>
        <v>#VALUE!</v>
      </c>
      <c r="AB74" s="1" t="e">
        <f>IF(AA74="","",VLOOKUP(AA74,S4:U53,3,0))</f>
        <v>#VALUE!</v>
      </c>
      <c r="AC74" s="8" t="str">
        <f t="shared" si="70"/>
        <v/>
      </c>
      <c r="AE74" s="71" t="e">
        <f t="shared" si="71"/>
        <v>#VALUE!</v>
      </c>
      <c r="AF74" s="71" t="str">
        <f>IF(OR(COUNTBLANK(AI74)=1,ISERROR(AI74)),"",COUNT(AI4:AI74))</f>
        <v/>
      </c>
      <c r="AG74" s="7" t="e">
        <f t="shared" si="72"/>
        <v>#VALUE!</v>
      </c>
      <c r="AH74" s="1" t="str">
        <f>IF(ISERROR(INDEX(C4:C8,MATCH(G74,D4:D8,0))),"",INDEX(C4:C8,MATCH(G74,D4:D8,0)))</f>
        <v/>
      </c>
      <c r="AI74" s="79" t="e">
        <f>IF(IF(COUNTIF(AI4:AI73,AI72)&gt;=MAX(D4:D8),AI72+2,AI72)&gt;50,"",IF(COUNTIF(AI4:AI73,AI72)&gt;=MAX(D4:D8),AI72+2,AI72))</f>
        <v>#VALUE!</v>
      </c>
      <c r="AJ74" s="1" t="e">
        <f>IF(AI74="","",VLOOKUP(AI74,S4:U53,3,0))</f>
        <v>#VALUE!</v>
      </c>
      <c r="AK74" s="8" t="str">
        <f t="shared" si="73"/>
        <v/>
      </c>
      <c r="AM74" s="71" t="e">
        <f t="shared" si="74"/>
        <v>#VALUE!</v>
      </c>
      <c r="AN74" s="71" t="str">
        <f>IF(OR(COUNTBLANK(AQ74)=1,ISERROR(AQ74)),"",COUNT(AQ4:AQ74))</f>
        <v/>
      </c>
      <c r="AO74" s="7" t="e">
        <f t="shared" si="75"/>
        <v>#VALUE!</v>
      </c>
      <c r="AP74" s="1" t="str">
        <f>IF(ISERROR(INDEX(C4:C8,MATCH(H74,D4:D8,0))),"",INDEX(C4:C8,MATCH(H74,D4:D8,0)))</f>
        <v/>
      </c>
      <c r="AQ74" s="79" t="e">
        <f>IF(IF(COUNTIF(AQ4:AQ73,AQ71)&gt;=MAX(D4:D8),AQ71+3,AQ71)&gt;50,"",IF(COUNTIF(AQ4:AQ73,AQ71)&gt;=MAX(D4:D8),AQ71+3,AQ71))</f>
        <v>#VALUE!</v>
      </c>
      <c r="AR74" s="1" t="e">
        <f>IF(AQ74="","",VLOOKUP(AQ74,S4:U53,3,0))</f>
        <v>#VALUE!</v>
      </c>
      <c r="AS74" s="8" t="str">
        <f t="shared" si="76"/>
        <v/>
      </c>
      <c r="AU74" s="71" t="e">
        <f t="shared" si="77"/>
        <v>#VALUE!</v>
      </c>
      <c r="AV74" s="71" t="str">
        <f>IF(OR(COUNTBLANK(AY74)=1,ISERROR(AY74)),"",COUNT(AY4:AY74))</f>
        <v/>
      </c>
      <c r="AW74" s="7" t="e">
        <f t="shared" si="78"/>
        <v>#VALUE!</v>
      </c>
      <c r="AX74" s="1" t="str">
        <f>IF(ISERROR(INDEX(C4:C8,MATCH(I74,D4:D8,0))),"",INDEX(C4:C8,MATCH(I74,D4:D8,0)))</f>
        <v/>
      </c>
      <c r="AY74" s="79" t="e">
        <f>IF(IF(COUNTIF(AY4:AY73,AY70)&gt;=MAX(D4:D8),AY70+4,AY70)&gt;50,"",IF(COUNTIF(AY4:AY73,AY70)&gt;=MAX(D4:D8),AY70+4,AY70))</f>
        <v>#VALUE!</v>
      </c>
      <c r="AZ74" s="76" t="e">
        <f>IF(AY74="","",VLOOKUP(AY74,S4:U53,3,0))</f>
        <v>#VALUE!</v>
      </c>
      <c r="BA74" s="8" t="str">
        <f t="shared" si="79"/>
        <v/>
      </c>
      <c r="BC74" s="71" t="e">
        <f t="shared" si="80"/>
        <v>#VALUE!</v>
      </c>
      <c r="BD74" s="71" t="str">
        <f>IF(OR(COUNTBLANK(BG74)=1,ISERROR(BG74)),"",COUNT(BG4:BG74))</f>
        <v/>
      </c>
      <c r="BE74" s="7" t="e">
        <f t="shared" si="81"/>
        <v>#VALUE!</v>
      </c>
      <c r="BF74" s="1" t="str">
        <f>IF(ISERROR(INDEX(C4:C8,MATCH(J74,D4:D8,0))),"",INDEX(C4:C8,MATCH(J74,D4:D8,0)))</f>
        <v/>
      </c>
      <c r="BG74" s="79" t="e">
        <f>IF(IF(COUNTIF(BG4:BG73,BG69)&gt;=MAX(D4:D8),BG69+5,BG69)&gt;50,"",IF(COUNTIF(BG4:BG73,BG69)&gt;=MAX(D4:D8),BG69+5,BG69))</f>
        <v>#VALUE!</v>
      </c>
      <c r="BH74" s="76" t="e">
        <f>IF(BG74="","",VLOOKUP(BG74,S4:U53,3,0))</f>
        <v>#VALUE!</v>
      </c>
      <c r="BI74" s="8" t="str">
        <f t="shared" si="82"/>
        <v/>
      </c>
      <c r="BP74" s="71" t="e">
        <f>IF(BT74="","",BT74*10+1)</f>
        <v>#VALUE!</v>
      </c>
      <c r="BQ74" s="71" t="str">
        <f>IF(OR(COUNTBLANK(BT74)=1,ISERROR(BT74)),"",COUNT(BT4:BT74))</f>
        <v/>
      </c>
      <c r="BR74" s="7" t="e">
        <f t="shared" si="84"/>
        <v>#VALUE!</v>
      </c>
      <c r="BS74" s="1" t="str">
        <f t="shared" si="85"/>
        <v/>
      </c>
      <c r="BT74" s="79" t="e">
        <f>IF(IF(COUNTIF($BT$4:BT73,BT73)&gt;=MAX($D$4:$D$8),BT73+1,BT73)&gt;55,"",IF(COUNTIF($BT$4:BT73,BT73)&gt;=MAX($D$4:$D$8),BT73+1,BT73))</f>
        <v>#VALUE!</v>
      </c>
      <c r="BU74" s="1" t="e">
        <f t="shared" si="86"/>
        <v>#VALUE!</v>
      </c>
      <c r="BV74" s="8" t="str">
        <f t="shared" si="87"/>
        <v/>
      </c>
      <c r="BX74" s="71" t="e">
        <f t="shared" si="88"/>
        <v>#VALUE!</v>
      </c>
      <c r="BY74" s="71" t="str">
        <f>IF(OR(COUNTBLANK(CB74)=1,ISERROR(CB74)),"",COUNT($CB$4:CB74))</f>
        <v/>
      </c>
      <c r="BZ74" s="7" t="e">
        <f t="shared" si="89"/>
        <v>#VALUE!</v>
      </c>
      <c r="CA74" s="1" t="str">
        <f t="shared" si="90"/>
        <v/>
      </c>
      <c r="CB74" s="79" t="e">
        <f>IF(IF(COUNTIF($CB$4:CB73,CB72)&gt;=MAX($D$4:$D$8),CB72+2,CB72)&gt;55,"",IF(COUNTIF($CB$4:CB73,CB72)&gt;=MAX($D$4:$D$8),CB72+2,CB72))</f>
        <v>#VALUE!</v>
      </c>
      <c r="CC74" s="1" t="e">
        <f t="shared" si="91"/>
        <v>#VALUE!</v>
      </c>
      <c r="CD74" s="8" t="str">
        <f t="shared" si="92"/>
        <v/>
      </c>
      <c r="CF74" s="71" t="e">
        <f t="shared" si="61"/>
        <v>#VALUE!</v>
      </c>
      <c r="CG74" s="71" t="str">
        <f>IF(OR(COUNTBLANK(CJ74)=1,ISERROR(CJ74)),"",COUNT($CJ$4:CJ74))</f>
        <v/>
      </c>
      <c r="CH74" s="7" t="e">
        <f t="shared" si="62"/>
        <v>#VALUE!</v>
      </c>
      <c r="CI74" s="1" t="str">
        <f t="shared" si="63"/>
        <v/>
      </c>
      <c r="CJ74" s="79" t="e">
        <f>IF(IF(COUNTIF($CJ$4:CJ73,CJ71)&gt;=MAX($D$4:$D$8),CJ71+3,CJ71)&gt;55,"",IF(COUNTIF($CJ$4:CJ73,CJ71)&gt;=MAX($D$4:$D$8),CJ71+3,CJ71))</f>
        <v>#VALUE!</v>
      </c>
      <c r="CK74" s="1" t="e">
        <f t="shared" si="93"/>
        <v>#VALUE!</v>
      </c>
      <c r="CL74" s="8" t="str">
        <f t="shared" si="64"/>
        <v/>
      </c>
      <c r="CN74" s="71" t="e">
        <f t="shared" si="99"/>
        <v>#VALUE!</v>
      </c>
      <c r="CO74" s="71" t="str">
        <f>IF(OR(COUNTBLANK(CR74)=1,ISERROR(CR74)),"",COUNT($CR$4:CR74))</f>
        <v/>
      </c>
      <c r="CP74" s="7" t="e">
        <f t="shared" si="100"/>
        <v>#VALUE!</v>
      </c>
      <c r="CQ74" s="1" t="str">
        <f t="shared" si="101"/>
        <v/>
      </c>
      <c r="CR74" s="79" t="e">
        <f>IF(IF(COUNTIF($CR$4:CR73,CR70)&gt;=MAX($D$4:$D$8),CR70+4,CR70)&gt;55,"",IF(COUNTIF($CR$4:CR73,CR70)&gt;=MAX($D$4:$D$8),CR70+4,CR70))</f>
        <v>#VALUE!</v>
      </c>
      <c r="CS74" s="1" t="e">
        <f t="shared" si="94"/>
        <v>#VALUE!</v>
      </c>
      <c r="CT74" s="8" t="str">
        <f t="shared" si="102"/>
        <v/>
      </c>
      <c r="CV74" s="71" t="e">
        <f t="shared" si="65"/>
        <v>#VALUE!</v>
      </c>
      <c r="CW74" s="71" t="str">
        <f>IF(OR(COUNTBLANK(CZ74)=1,ISERROR(CZ74)),"",COUNT($CZ$4:CZ74))</f>
        <v/>
      </c>
      <c r="CX74" s="7" t="e">
        <f t="shared" si="66"/>
        <v>#VALUE!</v>
      </c>
      <c r="CY74" s="1" t="str">
        <f t="shared" si="67"/>
        <v/>
      </c>
      <c r="CZ74" s="79" t="e">
        <f>IF(IF(COUNTIF($CZ$4:CZ73,CZ69)&gt;=MAX($D$4:$D$8),CZ69+5,CZ69)&gt;55,"",IF(COUNTIF($CZ$4:CZ73,CZ69)&gt;=MAX($D$4:$D$8),CZ69+5,CZ69))</f>
        <v>#VALUE!</v>
      </c>
      <c r="DA74" s="1" t="e">
        <f t="shared" si="95"/>
        <v>#VALUE!</v>
      </c>
      <c r="DB74" s="8" t="str">
        <f t="shared" si="68"/>
        <v/>
      </c>
    </row>
    <row r="75" spans="5:106" x14ac:dyDescent="0.15">
      <c r="E75" s="1">
        <v>72</v>
      </c>
      <c r="F75" s="1">
        <f t="shared" si="96"/>
        <v>1</v>
      </c>
      <c r="G75" s="1">
        <f t="shared" si="103"/>
        <v>1</v>
      </c>
      <c r="H75" s="1">
        <f t="shared" si="97"/>
        <v>1</v>
      </c>
      <c r="I75" s="1">
        <f t="shared" si="98"/>
        <v>1</v>
      </c>
      <c r="J75" s="1">
        <f t="shared" si="104"/>
        <v>1</v>
      </c>
      <c r="L75" s="1" t="str">
        <f>IF(ISERROR(HLOOKUP($C$10,$F$3:$J$253,73,0)),"",HLOOKUP($C$10,$F$3:$J$253,73,0))</f>
        <v/>
      </c>
      <c r="W75" s="71" t="e">
        <f>IF(AA75="","",AA75*10+2)</f>
        <v>#VALUE!</v>
      </c>
      <c r="X75" s="71" t="str">
        <f>IF(OR(COUNTBLANK(AA75)=1,ISERROR(AA75)),"",COUNT(AA4:AA75))</f>
        <v/>
      </c>
      <c r="Y75" s="7" t="e">
        <f t="shared" si="69"/>
        <v>#VALUE!</v>
      </c>
      <c r="Z75" s="1" t="str">
        <f t="shared" si="83"/>
        <v/>
      </c>
      <c r="AA75" s="79" t="e">
        <f>IF(IF(COUNTIF(AA4:AA74,AA74)&gt;=MAX(D4:D8),AA74+1,AA74)&gt;50,"",IF(COUNTIF(AA4:AA74,AA74)&gt;=MAX(D4:D8),AA74+1,AA74))</f>
        <v>#VALUE!</v>
      </c>
      <c r="AB75" s="1" t="e">
        <f>IF(AA75="","",VLOOKUP(AA75,S4:U53,3,0))</f>
        <v>#VALUE!</v>
      </c>
      <c r="AC75" s="8" t="str">
        <f t="shared" si="70"/>
        <v/>
      </c>
      <c r="AE75" s="71" t="e">
        <f t="shared" si="71"/>
        <v>#VALUE!</v>
      </c>
      <c r="AF75" s="71" t="str">
        <f>IF(OR(COUNTBLANK(AI75)=1,ISERROR(AI75)),"",COUNT(AI4:AI75))</f>
        <v/>
      </c>
      <c r="AG75" s="7" t="e">
        <f t="shared" si="72"/>
        <v>#VALUE!</v>
      </c>
      <c r="AH75" s="1" t="str">
        <f>IF(ISERROR(INDEX(C4:C8,MATCH(G75,D4:D8,0))),"",INDEX(C4:C8,MATCH(G75,D4:D8,0)))</f>
        <v/>
      </c>
      <c r="AI75" s="79" t="e">
        <f>IF(IF(COUNTIF(AI4:AI73,AI73)&gt;=MAX(D4:D8),AI73+2,AI73)&gt;50,"",IF(COUNTIF(AI4:AI73,AI73)&gt;=MAX(D4:D8),AI73+2,AI73))</f>
        <v>#VALUE!</v>
      </c>
      <c r="AJ75" s="1" t="e">
        <f>IF(AI75="","",VLOOKUP(AI75,S4:U53,3,0))</f>
        <v>#VALUE!</v>
      </c>
      <c r="AK75" s="8" t="str">
        <f t="shared" si="73"/>
        <v/>
      </c>
      <c r="AM75" s="71" t="e">
        <f t="shared" si="74"/>
        <v>#VALUE!</v>
      </c>
      <c r="AN75" s="71" t="str">
        <f>IF(OR(COUNTBLANK(AQ75)=1,ISERROR(AQ75)),"",COUNT(AQ4:AQ75))</f>
        <v/>
      </c>
      <c r="AO75" s="7" t="e">
        <f t="shared" si="75"/>
        <v>#VALUE!</v>
      </c>
      <c r="AP75" s="1" t="str">
        <f>IF(ISERROR(INDEX(C4:C8,MATCH(H75,D4:D8,0))),"",INDEX(C4:C8,MATCH(H75,D4:D8,0)))</f>
        <v/>
      </c>
      <c r="AQ75" s="79" t="e">
        <f>IF(IF(COUNTIF(AQ4:AQ74,AQ72)&gt;=MAX(D4:D8),AQ72+3,AQ72)&gt;50,"",IF(COUNTIF(AQ4:AQ74,AQ72)&gt;=MAX(D4:D8),AQ72+3,AQ72))</f>
        <v>#VALUE!</v>
      </c>
      <c r="AR75" s="1" t="e">
        <f>IF(AQ75="","",VLOOKUP(AQ75,S4:U53,3,0))</f>
        <v>#VALUE!</v>
      </c>
      <c r="AS75" s="8" t="str">
        <f t="shared" si="76"/>
        <v/>
      </c>
      <c r="AU75" s="71" t="e">
        <f t="shared" si="77"/>
        <v>#VALUE!</v>
      </c>
      <c r="AV75" s="71" t="str">
        <f>IF(OR(COUNTBLANK(AY75)=1,ISERROR(AY75)),"",COUNT(AY4:AY75))</f>
        <v/>
      </c>
      <c r="AW75" s="7" t="e">
        <f t="shared" si="78"/>
        <v>#VALUE!</v>
      </c>
      <c r="AX75" s="1" t="str">
        <f>IF(ISERROR(INDEX(C4:C8,MATCH(I75,D4:D8,0))),"",INDEX(C4:C8,MATCH(I75,D4:D8,0)))</f>
        <v/>
      </c>
      <c r="AY75" s="79" t="e">
        <f>IF(IF(COUNTIF(AY4:AY74,AY71)&gt;=MAX(D4:D8),AY71+4,AY71)&gt;50,"",IF(COUNTIF(AY4:AY74,AY71)&gt;=MAX(D4:D8),AY71+4,AY71))</f>
        <v>#VALUE!</v>
      </c>
      <c r="AZ75" s="76" t="e">
        <f>IF(AY75="","",VLOOKUP(AY75,S4:U53,3,0))</f>
        <v>#VALUE!</v>
      </c>
      <c r="BA75" s="8" t="str">
        <f t="shared" si="79"/>
        <v/>
      </c>
      <c r="BC75" s="71" t="e">
        <f t="shared" si="80"/>
        <v>#VALUE!</v>
      </c>
      <c r="BD75" s="71" t="str">
        <f>IF(OR(COUNTBLANK(BG75)=1,ISERROR(BG75)),"",COUNT(BG4:BG75))</f>
        <v/>
      </c>
      <c r="BE75" s="7" t="e">
        <f t="shared" si="81"/>
        <v>#VALUE!</v>
      </c>
      <c r="BF75" s="1" t="str">
        <f>IF(ISERROR(INDEX(C4:C8,MATCH(J75,D4:D8,0))),"",INDEX(C4:C8,MATCH(J75,D4:D8,0)))</f>
        <v/>
      </c>
      <c r="BG75" s="79" t="e">
        <f>IF(IF(COUNTIF(BG4:BG74,BG70)&gt;=MAX(D4:D8),BG70+5,BG70)&gt;50,"",IF(COUNTIF(BG4:BG74,BG70)&gt;=MAX(D4:D8),BG70+5,BG70))</f>
        <v>#VALUE!</v>
      </c>
      <c r="BH75" s="76" t="e">
        <f>IF(BG75="","",VLOOKUP(BG75,S4:U53,3,0))</f>
        <v>#VALUE!</v>
      </c>
      <c r="BI75" s="8" t="str">
        <f t="shared" si="82"/>
        <v/>
      </c>
      <c r="BP75" s="71" t="e">
        <f>IF(BT75="","",BT75*10+2)</f>
        <v>#VALUE!</v>
      </c>
      <c r="BQ75" s="71" t="str">
        <f>IF(OR(COUNTBLANK(BT75)=1,ISERROR(BT75)),"",COUNT(BT4:BT75))</f>
        <v/>
      </c>
      <c r="BR75" s="7" t="e">
        <f t="shared" si="84"/>
        <v>#VALUE!</v>
      </c>
      <c r="BS75" s="1" t="str">
        <f t="shared" si="85"/>
        <v/>
      </c>
      <c r="BT75" s="79" t="e">
        <f>IF(IF(COUNTIF($BT$4:BT74,BT74)&gt;=MAX($D$4:$D$8),BT74+1,BT74)&gt;55,"",IF(COUNTIF($BT$4:BT74,BT74)&gt;=MAX($D$4:$D$8),BT74+1,BT74))</f>
        <v>#VALUE!</v>
      </c>
      <c r="BU75" s="1" t="e">
        <f t="shared" si="86"/>
        <v>#VALUE!</v>
      </c>
      <c r="BV75" s="8" t="str">
        <f t="shared" si="87"/>
        <v/>
      </c>
      <c r="BX75" s="71" t="e">
        <f t="shared" si="88"/>
        <v>#VALUE!</v>
      </c>
      <c r="BY75" s="71" t="str">
        <f>IF(OR(COUNTBLANK(CB75)=1,ISERROR(CB75)),"",COUNT($CB$4:CB75))</f>
        <v/>
      </c>
      <c r="BZ75" s="7" t="e">
        <f t="shared" si="89"/>
        <v>#VALUE!</v>
      </c>
      <c r="CA75" s="1" t="str">
        <f t="shared" si="90"/>
        <v/>
      </c>
      <c r="CB75" s="79" t="e">
        <f>IF(IF(COUNTIF($CB$4:CB74,CB73)&gt;=MAX($D$4:$D$8),CB73+2,CB73)&gt;55,"",IF(COUNTIF($CB$4:CB74,CB73)&gt;=MAX($D$4:$D$8),CB73+2,CB73))</f>
        <v>#VALUE!</v>
      </c>
      <c r="CC75" s="1" t="e">
        <f t="shared" si="91"/>
        <v>#VALUE!</v>
      </c>
      <c r="CD75" s="8" t="str">
        <f t="shared" si="92"/>
        <v/>
      </c>
      <c r="CF75" s="71" t="e">
        <f t="shared" si="61"/>
        <v>#VALUE!</v>
      </c>
      <c r="CG75" s="71" t="str">
        <f>IF(OR(COUNTBLANK(CJ75)=1,ISERROR(CJ75)),"",COUNT($CJ$4:CJ75))</f>
        <v/>
      </c>
      <c r="CH75" s="7" t="e">
        <f t="shared" si="62"/>
        <v>#VALUE!</v>
      </c>
      <c r="CI75" s="1" t="str">
        <f t="shared" si="63"/>
        <v/>
      </c>
      <c r="CJ75" s="79" t="e">
        <f>IF(IF(COUNTIF($CJ$4:CJ74,CJ72)&gt;=MAX($D$4:$D$8),CJ72+3,CJ72)&gt;55,"",IF(COUNTIF($CJ$4:CJ74,CJ72)&gt;=MAX($D$4:$D$8),CJ72+3,CJ72))</f>
        <v>#VALUE!</v>
      </c>
      <c r="CK75" s="1" t="e">
        <f t="shared" si="93"/>
        <v>#VALUE!</v>
      </c>
      <c r="CL75" s="8" t="str">
        <f t="shared" si="64"/>
        <v/>
      </c>
      <c r="CN75" s="71" t="e">
        <f t="shared" si="99"/>
        <v>#VALUE!</v>
      </c>
      <c r="CO75" s="71" t="str">
        <f>IF(OR(COUNTBLANK(CR75)=1,ISERROR(CR75)),"",COUNT($CR$4:CR75))</f>
        <v/>
      </c>
      <c r="CP75" s="7" t="e">
        <f t="shared" si="100"/>
        <v>#VALUE!</v>
      </c>
      <c r="CQ75" s="1" t="str">
        <f t="shared" si="101"/>
        <v/>
      </c>
      <c r="CR75" s="79" t="e">
        <f>IF(IF(COUNTIF($CR$4:CR74,CR71)&gt;=MAX($D$4:$D$8),CR71+4,CR71)&gt;55,"",IF(COUNTIF($CR$4:CR74,CR71)&gt;=MAX($D$4:$D$8),CR71+4,CR71))</f>
        <v>#VALUE!</v>
      </c>
      <c r="CS75" s="1" t="e">
        <f t="shared" si="94"/>
        <v>#VALUE!</v>
      </c>
      <c r="CT75" s="8" t="str">
        <f t="shared" si="102"/>
        <v/>
      </c>
      <c r="CV75" s="71" t="e">
        <f t="shared" si="65"/>
        <v>#VALUE!</v>
      </c>
      <c r="CW75" s="71" t="str">
        <f>IF(OR(COUNTBLANK(CZ75)=1,ISERROR(CZ75)),"",COUNT($CZ$4:CZ75))</f>
        <v/>
      </c>
      <c r="CX75" s="7" t="e">
        <f t="shared" si="66"/>
        <v>#VALUE!</v>
      </c>
      <c r="CY75" s="1" t="str">
        <f t="shared" si="67"/>
        <v/>
      </c>
      <c r="CZ75" s="79" t="e">
        <f>IF(IF(COUNTIF($CZ$4:CZ74,CZ70)&gt;=MAX($D$4:$D$8),CZ70+5,CZ70)&gt;55,"",IF(COUNTIF($CZ$4:CZ74,CZ70)&gt;=MAX($D$4:$D$8),CZ70+5,CZ70))</f>
        <v>#VALUE!</v>
      </c>
      <c r="DA75" s="1" t="e">
        <f t="shared" si="95"/>
        <v>#VALUE!</v>
      </c>
      <c r="DB75" s="8" t="str">
        <f t="shared" si="68"/>
        <v/>
      </c>
    </row>
    <row r="76" spans="5:106" x14ac:dyDescent="0.15">
      <c r="E76" s="1">
        <v>73</v>
      </c>
      <c r="F76" s="1">
        <f t="shared" si="96"/>
        <v>1</v>
      </c>
      <c r="G76" s="1">
        <f t="shared" si="103"/>
        <v>1</v>
      </c>
      <c r="H76" s="1">
        <f t="shared" si="97"/>
        <v>1</v>
      </c>
      <c r="I76" s="1">
        <f t="shared" si="98"/>
        <v>1</v>
      </c>
      <c r="J76" s="1">
        <f t="shared" si="104"/>
        <v>1</v>
      </c>
      <c r="L76" s="1" t="str">
        <f>IF(ISERROR(HLOOKUP($C$10,$F$3:$J$253,74,0)),"",HLOOKUP($C$10,$F$3:$J$253,74,0))</f>
        <v/>
      </c>
      <c r="W76" s="71" t="e">
        <f>IF(AA76="","",AA76*10+3)</f>
        <v>#VALUE!</v>
      </c>
      <c r="X76" s="71" t="str">
        <f>IF(OR(COUNTBLANK(AA76)=1,ISERROR(AA76)),"",COUNT(AA4:AA76))</f>
        <v/>
      </c>
      <c r="Y76" s="7" t="e">
        <f t="shared" si="69"/>
        <v>#VALUE!</v>
      </c>
      <c r="Z76" s="1" t="str">
        <f t="shared" si="83"/>
        <v/>
      </c>
      <c r="AA76" s="79" t="e">
        <f>IF(IF(COUNTIF(AA4:AA75,AA75)&gt;=MAX(D4:D8),AA75+1,AA75)&gt;50,"",IF(COUNTIF(AA4:AA75,AA75)&gt;=MAX(D4:D8),AA75+1,AA75))</f>
        <v>#VALUE!</v>
      </c>
      <c r="AB76" s="1" t="e">
        <f>IF(AA76="","",VLOOKUP(AA76,S4:U53,3,0))</f>
        <v>#VALUE!</v>
      </c>
      <c r="AC76" s="8" t="str">
        <f t="shared" si="70"/>
        <v/>
      </c>
      <c r="AE76" s="71" t="e">
        <f t="shared" si="71"/>
        <v>#VALUE!</v>
      </c>
      <c r="AF76" s="71" t="str">
        <f>IF(OR(COUNTBLANK(AI76)=1,ISERROR(AI76)),"",COUNT(AI4:AI76))</f>
        <v/>
      </c>
      <c r="AG76" s="7" t="e">
        <f t="shared" si="72"/>
        <v>#VALUE!</v>
      </c>
      <c r="AH76" s="1" t="str">
        <f>IF(ISERROR(INDEX(C4:C8,MATCH(G76,D4:D8,0))),"",INDEX(C4:C8,MATCH(G76,D4:D8,0)))</f>
        <v/>
      </c>
      <c r="AI76" s="79" t="e">
        <f>IF(IF(COUNTIF(AI4:AI75,AI74)&gt;=MAX(D4:D8),AI74+2,AI74)&gt;50,"",IF(COUNTIF(AI4:AI75,AI74)&gt;=MAX(D4:D8),AI74+2,AI74))</f>
        <v>#VALUE!</v>
      </c>
      <c r="AJ76" s="1" t="e">
        <f>IF(AI76="","",VLOOKUP(AI76,S4:U53,3,0))</f>
        <v>#VALUE!</v>
      </c>
      <c r="AK76" s="8" t="str">
        <f t="shared" si="73"/>
        <v/>
      </c>
      <c r="AM76" s="71" t="e">
        <f t="shared" si="74"/>
        <v>#VALUE!</v>
      </c>
      <c r="AN76" s="71" t="str">
        <f>IF(OR(COUNTBLANK(AQ76)=1,ISERROR(AQ76)),"",COUNT(AQ4:AQ76))</f>
        <v/>
      </c>
      <c r="AO76" s="7" t="e">
        <f t="shared" si="75"/>
        <v>#VALUE!</v>
      </c>
      <c r="AP76" s="1" t="str">
        <f>IF(ISERROR(INDEX(C4:C8,MATCH(H76,D4:D8,0))),"",INDEX(C4:C8,MATCH(H76,D4:D8,0)))</f>
        <v/>
      </c>
      <c r="AQ76" s="79" t="e">
        <f>IF(IF(COUNTIF(AQ4:AQ75,AQ73)&gt;=MAX(D4:D8),AQ73+3,AQ73)&gt;50,"",IF(COUNTIF(AQ4:AQ75,AQ73)&gt;=MAX(D4:D8),AQ73+3,AQ73))</f>
        <v>#VALUE!</v>
      </c>
      <c r="AR76" s="1" t="e">
        <f>IF(AQ76="","",VLOOKUP(AQ76,S4:U53,3,0))</f>
        <v>#VALUE!</v>
      </c>
      <c r="AS76" s="8" t="str">
        <f t="shared" si="76"/>
        <v/>
      </c>
      <c r="AU76" s="71" t="e">
        <f t="shared" si="77"/>
        <v>#VALUE!</v>
      </c>
      <c r="AV76" s="71" t="str">
        <f>IF(OR(COUNTBLANK(AY76)=1,ISERROR(AY76)),"",COUNT(AY4:AY76))</f>
        <v/>
      </c>
      <c r="AW76" s="7" t="e">
        <f t="shared" si="78"/>
        <v>#VALUE!</v>
      </c>
      <c r="AX76" s="1" t="str">
        <f>IF(ISERROR(INDEX(C4:C8,MATCH(I76,D4:D8,0))),"",INDEX(C4:C8,MATCH(I76,D4:D8,0)))</f>
        <v/>
      </c>
      <c r="AY76" s="79" t="e">
        <f>IF(IF(COUNTIF(AY4:AY75,AY72)&gt;=MAX(D4:D8),AY72+4,AY72)&gt;50,"",IF(COUNTIF(AY4:AY75,AY72)&gt;=MAX(D4:D8),AY72+4,AY72))</f>
        <v>#VALUE!</v>
      </c>
      <c r="AZ76" s="76" t="e">
        <f>IF(AY76="","",VLOOKUP(AY76,S4:U53,3,0))</f>
        <v>#VALUE!</v>
      </c>
      <c r="BA76" s="8" t="str">
        <f t="shared" si="79"/>
        <v/>
      </c>
      <c r="BC76" s="71" t="e">
        <f t="shared" si="80"/>
        <v>#VALUE!</v>
      </c>
      <c r="BD76" s="71" t="str">
        <f>IF(OR(COUNTBLANK(BG76)=1,ISERROR(BG76)),"",COUNT(BG4:BG76))</f>
        <v/>
      </c>
      <c r="BE76" s="7" t="e">
        <f t="shared" si="81"/>
        <v>#VALUE!</v>
      </c>
      <c r="BF76" s="1" t="str">
        <f>IF(ISERROR(INDEX(C4:C8,MATCH(J76,D4:D8,0))),"",INDEX(C4:C8,MATCH(J76,D4:D8,0)))</f>
        <v/>
      </c>
      <c r="BG76" s="79" t="e">
        <f>IF(IF(COUNTIF(BG4:BG75,BG71)&gt;=MAX(D4:D8),BG71+5,BG71)&gt;50,"",IF(COUNTIF(BG4:BG75,BG71)&gt;=MAX(D4:D8),BG71+5,BG71))</f>
        <v>#VALUE!</v>
      </c>
      <c r="BH76" s="76" t="e">
        <f>IF(BG76="","",VLOOKUP(BG76,S4:U53,3,0))</f>
        <v>#VALUE!</v>
      </c>
      <c r="BI76" s="8" t="str">
        <f t="shared" si="82"/>
        <v/>
      </c>
      <c r="BP76" s="71" t="e">
        <f>IF(BT76="","",BT76*10+3)</f>
        <v>#VALUE!</v>
      </c>
      <c r="BQ76" s="71" t="str">
        <f>IF(OR(COUNTBLANK(BT76)=1,ISERROR(BT76)),"",COUNT(BT4:BT76))</f>
        <v/>
      </c>
      <c r="BR76" s="7" t="e">
        <f t="shared" si="84"/>
        <v>#VALUE!</v>
      </c>
      <c r="BS76" s="1" t="str">
        <f t="shared" si="85"/>
        <v/>
      </c>
      <c r="BT76" s="79" t="e">
        <f>IF(IF(COUNTIF($BT$4:BT75,BT75)&gt;=MAX($D$4:$D$8),BT75+1,BT75)&gt;55,"",IF(COUNTIF($BT$4:BT75,BT75)&gt;=MAX($D$4:$D$8),BT75+1,BT75))</f>
        <v>#VALUE!</v>
      </c>
      <c r="BU76" s="1" t="e">
        <f t="shared" si="86"/>
        <v>#VALUE!</v>
      </c>
      <c r="BV76" s="8" t="str">
        <f t="shared" si="87"/>
        <v/>
      </c>
      <c r="BX76" s="71" t="e">
        <f t="shared" si="88"/>
        <v>#VALUE!</v>
      </c>
      <c r="BY76" s="71" t="str">
        <f>IF(OR(COUNTBLANK(CB76)=1,ISERROR(CB76)),"",COUNT($CB$4:CB76))</f>
        <v/>
      </c>
      <c r="BZ76" s="7" t="e">
        <f t="shared" si="89"/>
        <v>#VALUE!</v>
      </c>
      <c r="CA76" s="1" t="str">
        <f t="shared" si="90"/>
        <v/>
      </c>
      <c r="CB76" s="79" t="e">
        <f>IF(IF(COUNTIF($CB$4:CB75,CB74)&gt;=MAX($D$4:$D$8),CB74+2,CB74)&gt;55,"",IF(COUNTIF($CB$4:CB75,CB74)&gt;=MAX($D$4:$D$8),CB74+2,CB74))</f>
        <v>#VALUE!</v>
      </c>
      <c r="CC76" s="1" t="e">
        <f t="shared" si="91"/>
        <v>#VALUE!</v>
      </c>
      <c r="CD76" s="8" t="str">
        <f t="shared" si="92"/>
        <v/>
      </c>
      <c r="CF76" s="71" t="e">
        <f t="shared" si="61"/>
        <v>#VALUE!</v>
      </c>
      <c r="CG76" s="71" t="str">
        <f>IF(OR(COUNTBLANK(CJ76)=1,ISERROR(CJ76)),"",COUNT($CJ$4:CJ76))</f>
        <v/>
      </c>
      <c r="CH76" s="7" t="e">
        <f t="shared" si="62"/>
        <v>#VALUE!</v>
      </c>
      <c r="CI76" s="1" t="str">
        <f t="shared" si="63"/>
        <v/>
      </c>
      <c r="CJ76" s="79" t="e">
        <f>IF(IF(COUNTIF($CJ$4:CJ75,CJ73)&gt;=MAX($D$4:$D$8),CJ73+3,CJ73)&gt;55,"",IF(COUNTIF($CJ$4:CJ75,CJ73)&gt;=MAX($D$4:$D$8),CJ73+3,CJ73))</f>
        <v>#VALUE!</v>
      </c>
      <c r="CK76" s="1" t="e">
        <f t="shared" si="93"/>
        <v>#VALUE!</v>
      </c>
      <c r="CL76" s="8" t="str">
        <f t="shared" si="64"/>
        <v/>
      </c>
      <c r="CN76" s="71" t="e">
        <f t="shared" si="99"/>
        <v>#VALUE!</v>
      </c>
      <c r="CO76" s="71" t="str">
        <f>IF(OR(COUNTBLANK(CR76)=1,ISERROR(CR76)),"",COUNT($CR$4:CR76))</f>
        <v/>
      </c>
      <c r="CP76" s="7" t="e">
        <f t="shared" si="100"/>
        <v>#VALUE!</v>
      </c>
      <c r="CQ76" s="1" t="str">
        <f t="shared" si="101"/>
        <v/>
      </c>
      <c r="CR76" s="79" t="e">
        <f>IF(IF(COUNTIF($CR$4:CR75,CR72)&gt;=MAX($D$4:$D$8),CR72+4,CR72)&gt;55,"",IF(COUNTIF($CR$4:CR75,CR72)&gt;=MAX($D$4:$D$8),CR72+4,CR72))</f>
        <v>#VALUE!</v>
      </c>
      <c r="CS76" s="1" t="e">
        <f t="shared" si="94"/>
        <v>#VALUE!</v>
      </c>
      <c r="CT76" s="8" t="str">
        <f t="shared" si="102"/>
        <v/>
      </c>
      <c r="CV76" s="71" t="e">
        <f t="shared" si="65"/>
        <v>#VALUE!</v>
      </c>
      <c r="CW76" s="71" t="str">
        <f>IF(OR(COUNTBLANK(CZ76)=1,ISERROR(CZ76)),"",COUNT($CZ$4:CZ76))</f>
        <v/>
      </c>
      <c r="CX76" s="7" t="e">
        <f t="shared" si="66"/>
        <v>#VALUE!</v>
      </c>
      <c r="CY76" s="1" t="str">
        <f t="shared" si="67"/>
        <v/>
      </c>
      <c r="CZ76" s="79" t="e">
        <f>IF(IF(COUNTIF($CZ$4:CZ75,CZ71)&gt;=MAX($D$4:$D$8),CZ71+5,CZ71)&gt;55,"",IF(COUNTIF($CZ$4:CZ75,CZ71)&gt;=MAX($D$4:$D$8),CZ71+5,CZ71))</f>
        <v>#VALUE!</v>
      </c>
      <c r="DA76" s="1" t="e">
        <f t="shared" si="95"/>
        <v>#VALUE!</v>
      </c>
      <c r="DB76" s="8" t="str">
        <f t="shared" si="68"/>
        <v/>
      </c>
    </row>
    <row r="77" spans="5:106" x14ac:dyDescent="0.15">
      <c r="E77" s="1">
        <v>74</v>
      </c>
      <c r="F77" s="1">
        <f t="shared" si="96"/>
        <v>1</v>
      </c>
      <c r="G77" s="1">
        <f t="shared" si="103"/>
        <v>1</v>
      </c>
      <c r="H77" s="1">
        <f t="shared" si="97"/>
        <v>1</v>
      </c>
      <c r="I77" s="1">
        <f t="shared" si="98"/>
        <v>1</v>
      </c>
      <c r="J77" s="1">
        <f t="shared" si="104"/>
        <v>1</v>
      </c>
      <c r="L77" s="1" t="str">
        <f>IF(ISERROR(HLOOKUP($C$10,$F$3:$J$253,75,0)),"",HLOOKUP($C$10,$F$3:$J$253,75,0))</f>
        <v/>
      </c>
      <c r="W77" s="71" t="e">
        <f>IF(AA77="","",AA77*10+4)</f>
        <v>#VALUE!</v>
      </c>
      <c r="X77" s="71" t="str">
        <f>IF(OR(COUNTBLANK(AA77)=1,ISERROR(AA77)),"",COUNT(AA4:AA77))</f>
        <v/>
      </c>
      <c r="Y77" s="7" t="e">
        <f t="shared" si="69"/>
        <v>#VALUE!</v>
      </c>
      <c r="Z77" s="1" t="str">
        <f t="shared" si="83"/>
        <v/>
      </c>
      <c r="AA77" s="79" t="e">
        <f>IF(IF(COUNTIF(AA4:AA76,AA76)&gt;=MAX(D4:D8),AA76+1,AA76)&gt;50,"",IF(COUNTIF(AA4:AA76,AA76)&gt;=MAX(D4:D8),AA76+1,AA76))</f>
        <v>#VALUE!</v>
      </c>
      <c r="AB77" s="1" t="e">
        <f>IF(AA77="","",VLOOKUP(AA77,S4:U53,3,0))</f>
        <v>#VALUE!</v>
      </c>
      <c r="AC77" s="8" t="str">
        <f t="shared" si="70"/>
        <v/>
      </c>
      <c r="AE77" s="71" t="e">
        <f t="shared" si="71"/>
        <v>#VALUE!</v>
      </c>
      <c r="AF77" s="71" t="str">
        <f>IF(OR(COUNTBLANK(AI77)=1,ISERROR(AI77)),"",COUNT(AI4:AI77))</f>
        <v/>
      </c>
      <c r="AG77" s="7" t="e">
        <f t="shared" si="72"/>
        <v>#VALUE!</v>
      </c>
      <c r="AH77" s="1" t="str">
        <f>IF(ISERROR(INDEX(C4:C8,MATCH(G77,D4:D8,0))),"",INDEX(C4:C8,MATCH(G77,D4:D8,0)))</f>
        <v/>
      </c>
      <c r="AI77" s="79" t="e">
        <f>IF(IF(COUNTIF(AI4:AI75,AI75)&gt;=MAX(D4:D8),AI75+2,AI75)&gt;50,"",IF(COUNTIF(AI4:AI75,AI75)&gt;=MAX(D4:D8),AI75+2,AI75))</f>
        <v>#VALUE!</v>
      </c>
      <c r="AJ77" s="1" t="e">
        <f>IF(AI77="","",VLOOKUP(AI77,S4:U53,3,0))</f>
        <v>#VALUE!</v>
      </c>
      <c r="AK77" s="8" t="str">
        <f t="shared" si="73"/>
        <v/>
      </c>
      <c r="AM77" s="71" t="e">
        <f t="shared" si="74"/>
        <v>#VALUE!</v>
      </c>
      <c r="AN77" s="71" t="str">
        <f>IF(OR(COUNTBLANK(AQ77)=1,ISERROR(AQ77)),"",COUNT(AQ4:AQ77))</f>
        <v/>
      </c>
      <c r="AO77" s="7" t="e">
        <f t="shared" si="75"/>
        <v>#VALUE!</v>
      </c>
      <c r="AP77" s="1" t="str">
        <f>IF(ISERROR(INDEX(C4:C8,MATCH(H77,D4:D8,0))),"",INDEX(C4:C8,MATCH(H77,D4:D8,0)))</f>
        <v/>
      </c>
      <c r="AQ77" s="79" t="e">
        <f>IF(IF(COUNTIF(AQ4:AQ76,AQ74)&gt;=MAX(D4:D8),AQ74+3,AQ74)&gt;50,"",IF(COUNTIF(AQ4:AQ76,AQ74)&gt;=MAX(D4:D8),AQ74+3,AQ74))</f>
        <v>#VALUE!</v>
      </c>
      <c r="AR77" s="1" t="e">
        <f>IF(AQ77="","",VLOOKUP(AQ77,S4:U53,3,0))</f>
        <v>#VALUE!</v>
      </c>
      <c r="AS77" s="8" t="str">
        <f t="shared" si="76"/>
        <v/>
      </c>
      <c r="AU77" s="71" t="e">
        <f t="shared" si="77"/>
        <v>#VALUE!</v>
      </c>
      <c r="AV77" s="71" t="str">
        <f>IF(OR(COUNTBLANK(AY77)=1,ISERROR(AY77)),"",COUNT(AY4:AY77))</f>
        <v/>
      </c>
      <c r="AW77" s="7" t="e">
        <f t="shared" si="78"/>
        <v>#VALUE!</v>
      </c>
      <c r="AX77" s="1" t="str">
        <f>IF(ISERROR(INDEX(C4:C8,MATCH(I77,D4:D8,0))),"",INDEX(C4:C8,MATCH(I77,D4:D8,0)))</f>
        <v/>
      </c>
      <c r="AY77" s="79" t="e">
        <f>IF(IF(COUNTIF(AY4:AY76,AY73)&gt;=MAX(D4:D8),AY73+4,AY73)&gt;50,"",IF(COUNTIF(AY4:AY76,AY73)&gt;=MAX(D4:D8),AY73+4,AY73))</f>
        <v>#VALUE!</v>
      </c>
      <c r="AZ77" s="76" t="e">
        <f>IF(AY77="","",VLOOKUP(AY77,S4:U53,3,0))</f>
        <v>#VALUE!</v>
      </c>
      <c r="BA77" s="8" t="str">
        <f t="shared" si="79"/>
        <v/>
      </c>
      <c r="BC77" s="71" t="e">
        <f t="shared" si="80"/>
        <v>#VALUE!</v>
      </c>
      <c r="BD77" s="71" t="str">
        <f>IF(OR(COUNTBLANK(BG77)=1,ISERROR(BG77)),"",COUNT(BG4:BG77))</f>
        <v/>
      </c>
      <c r="BE77" s="7" t="e">
        <f t="shared" si="81"/>
        <v>#VALUE!</v>
      </c>
      <c r="BF77" s="1" t="str">
        <f>IF(ISERROR(INDEX(C4:C8,MATCH(J77,D4:D8,0))),"",INDEX(C4:C8,MATCH(J77,D4:D8,0)))</f>
        <v/>
      </c>
      <c r="BG77" s="79" t="e">
        <f>IF(IF(COUNTIF(BG4:BG76,BG72)&gt;=MAX(D4:D8),BG72+5,BG72)&gt;50,"",IF(COUNTIF(BG4:BG76,BG72)&gt;=MAX(D4:D8),BG72+5,BG72))</f>
        <v>#VALUE!</v>
      </c>
      <c r="BH77" s="76" t="e">
        <f>IF(BG77="","",VLOOKUP(BG77,S4:U53,3,0))</f>
        <v>#VALUE!</v>
      </c>
      <c r="BI77" s="8" t="str">
        <f t="shared" si="82"/>
        <v/>
      </c>
      <c r="BP77" s="71" t="e">
        <f>IF(BT77="","",BT77*10+4)</f>
        <v>#VALUE!</v>
      </c>
      <c r="BQ77" s="71" t="str">
        <f>IF(OR(COUNTBLANK(BT77)=1,ISERROR(BT77)),"",COUNT(BT4:BT77))</f>
        <v/>
      </c>
      <c r="BR77" s="7" t="e">
        <f t="shared" si="84"/>
        <v>#VALUE!</v>
      </c>
      <c r="BS77" s="1" t="str">
        <f t="shared" si="85"/>
        <v/>
      </c>
      <c r="BT77" s="79" t="e">
        <f>IF(IF(COUNTIF($BT$4:BT76,BT76)&gt;=MAX($D$4:$D$8),BT76+1,BT76)&gt;55,"",IF(COUNTIF($BT$4:BT76,BT76)&gt;=MAX($D$4:$D$8),BT76+1,BT76))</f>
        <v>#VALUE!</v>
      </c>
      <c r="BU77" s="1" t="e">
        <f t="shared" si="86"/>
        <v>#VALUE!</v>
      </c>
      <c r="BV77" s="8" t="str">
        <f t="shared" si="87"/>
        <v/>
      </c>
      <c r="BX77" s="71" t="e">
        <f t="shared" si="88"/>
        <v>#VALUE!</v>
      </c>
      <c r="BY77" s="71" t="str">
        <f>IF(OR(COUNTBLANK(CB77)=1,ISERROR(CB77)),"",COUNT($CB$4:CB77))</f>
        <v/>
      </c>
      <c r="BZ77" s="7" t="e">
        <f t="shared" si="89"/>
        <v>#VALUE!</v>
      </c>
      <c r="CA77" s="1" t="str">
        <f t="shared" si="90"/>
        <v/>
      </c>
      <c r="CB77" s="79" t="e">
        <f>IF(IF(COUNTIF($CB$4:CB76,CB75)&gt;=MAX($D$4:$D$8),CB75+2,CB75)&gt;55,"",IF(COUNTIF($CB$4:CB76,CB75)&gt;=MAX($D$4:$D$8),CB75+2,CB75))</f>
        <v>#VALUE!</v>
      </c>
      <c r="CC77" s="1" t="e">
        <f t="shared" si="91"/>
        <v>#VALUE!</v>
      </c>
      <c r="CD77" s="8" t="str">
        <f t="shared" si="92"/>
        <v/>
      </c>
      <c r="CF77" s="71" t="e">
        <f t="shared" si="61"/>
        <v>#VALUE!</v>
      </c>
      <c r="CG77" s="71" t="str">
        <f>IF(OR(COUNTBLANK(CJ77)=1,ISERROR(CJ77)),"",COUNT($CJ$4:CJ77))</f>
        <v/>
      </c>
      <c r="CH77" s="7" t="e">
        <f t="shared" si="62"/>
        <v>#VALUE!</v>
      </c>
      <c r="CI77" s="1" t="str">
        <f t="shared" si="63"/>
        <v/>
      </c>
      <c r="CJ77" s="79" t="e">
        <f>IF(IF(COUNTIF($CJ$4:CJ76,CJ74)&gt;=MAX($D$4:$D$8),CJ74+3,CJ74)&gt;55,"",IF(COUNTIF($CJ$4:CJ76,CJ74)&gt;=MAX($D$4:$D$8),CJ74+3,CJ74))</f>
        <v>#VALUE!</v>
      </c>
      <c r="CK77" s="1" t="e">
        <f t="shared" si="93"/>
        <v>#VALUE!</v>
      </c>
      <c r="CL77" s="8" t="str">
        <f t="shared" si="64"/>
        <v/>
      </c>
      <c r="CN77" s="71" t="e">
        <f t="shared" si="99"/>
        <v>#VALUE!</v>
      </c>
      <c r="CO77" s="71" t="str">
        <f>IF(OR(COUNTBLANK(CR77)=1,ISERROR(CR77)),"",COUNT($CR$4:CR77))</f>
        <v/>
      </c>
      <c r="CP77" s="7" t="e">
        <f t="shared" si="100"/>
        <v>#VALUE!</v>
      </c>
      <c r="CQ77" s="1" t="str">
        <f t="shared" si="101"/>
        <v/>
      </c>
      <c r="CR77" s="79" t="e">
        <f>IF(IF(COUNTIF($CR$4:CR76,CR73)&gt;=MAX($D$4:$D$8),CR73+4,CR73)&gt;55,"",IF(COUNTIF($CR$4:CR76,CR73)&gt;=MAX($D$4:$D$8),CR73+4,CR73))</f>
        <v>#VALUE!</v>
      </c>
      <c r="CS77" s="1" t="e">
        <f t="shared" si="94"/>
        <v>#VALUE!</v>
      </c>
      <c r="CT77" s="8" t="str">
        <f t="shared" si="102"/>
        <v/>
      </c>
      <c r="CV77" s="71" t="e">
        <f t="shared" si="65"/>
        <v>#VALUE!</v>
      </c>
      <c r="CW77" s="71" t="str">
        <f>IF(OR(COUNTBLANK(CZ77)=1,ISERROR(CZ77)),"",COUNT($CZ$4:CZ77))</f>
        <v/>
      </c>
      <c r="CX77" s="7" t="e">
        <f t="shared" si="66"/>
        <v>#VALUE!</v>
      </c>
      <c r="CY77" s="1" t="str">
        <f t="shared" si="67"/>
        <v/>
      </c>
      <c r="CZ77" s="79" t="e">
        <f>IF(IF(COUNTIF($CZ$4:CZ76,CZ72)&gt;=MAX($D$4:$D$8),CZ72+5,CZ72)&gt;55,"",IF(COUNTIF($CZ$4:CZ76,CZ72)&gt;=MAX($D$4:$D$8),CZ72+5,CZ72))</f>
        <v>#VALUE!</v>
      </c>
      <c r="DA77" s="1" t="e">
        <f t="shared" si="95"/>
        <v>#VALUE!</v>
      </c>
      <c r="DB77" s="8" t="str">
        <f t="shared" si="68"/>
        <v/>
      </c>
    </row>
    <row r="78" spans="5:106" x14ac:dyDescent="0.15">
      <c r="E78" s="1">
        <v>75</v>
      </c>
      <c r="F78" s="1">
        <f t="shared" si="96"/>
        <v>1</v>
      </c>
      <c r="G78" s="1">
        <f t="shared" si="103"/>
        <v>1</v>
      </c>
      <c r="H78" s="1">
        <f t="shared" si="97"/>
        <v>1</v>
      </c>
      <c r="I78" s="1">
        <f t="shared" si="98"/>
        <v>1</v>
      </c>
      <c r="J78" s="1">
        <f t="shared" si="104"/>
        <v>1</v>
      </c>
      <c r="L78" s="1" t="str">
        <f>IF(ISERROR(HLOOKUP($C$10,$F$3:$J$253,76,0)),"",HLOOKUP($C$10,$F$3:$J$253,76,0))</f>
        <v/>
      </c>
      <c r="W78" s="71" t="e">
        <f>IF(AA78="","",AA78*10+5)</f>
        <v>#VALUE!</v>
      </c>
      <c r="X78" s="71" t="str">
        <f>IF(OR(COUNTBLANK(AA78)=1,ISERROR(AA78)),"",COUNT(AA4:AA78))</f>
        <v/>
      </c>
      <c r="Y78" s="7" t="e">
        <f t="shared" si="69"/>
        <v>#VALUE!</v>
      </c>
      <c r="Z78" s="1" t="str">
        <f t="shared" si="83"/>
        <v/>
      </c>
      <c r="AA78" s="79" t="e">
        <f>IF(IF(COUNTIF(AA4:AA77,AA77)&gt;=MAX(D4:D8),AA77+1,AA77)&gt;50,"",IF(COUNTIF(AA4:AA77,AA77)&gt;=MAX(D4:D8),AA77+1,AA77))</f>
        <v>#VALUE!</v>
      </c>
      <c r="AB78" s="1" t="e">
        <f>IF(AA78="","",VLOOKUP(AA78,S4:U53,3,0))</f>
        <v>#VALUE!</v>
      </c>
      <c r="AC78" s="8" t="str">
        <f t="shared" si="70"/>
        <v/>
      </c>
      <c r="AE78" s="71" t="e">
        <f t="shared" si="71"/>
        <v>#VALUE!</v>
      </c>
      <c r="AF78" s="71" t="str">
        <f>IF(OR(COUNTBLANK(AI78)=1,ISERROR(AI78)),"",COUNT(AI4:AI78))</f>
        <v/>
      </c>
      <c r="AG78" s="7" t="e">
        <f t="shared" si="72"/>
        <v>#VALUE!</v>
      </c>
      <c r="AH78" s="1" t="str">
        <f>IF(ISERROR(INDEX(C4:C8,MATCH(G78,D4:D8,0))),"",INDEX(C4:C8,MATCH(G78,D4:D8,0)))</f>
        <v/>
      </c>
      <c r="AI78" s="79" t="e">
        <f>IF(IF(COUNTIF(AI4:AI77,AI76)&gt;=MAX(D4:D8),AI76+2,AI76)&gt;50,"",IF(COUNTIF(AI4:AI77,AI76)&gt;=MAX(D4:D8),AI76+2,AI76))</f>
        <v>#VALUE!</v>
      </c>
      <c r="AJ78" s="1" t="e">
        <f>IF(AI78="","",VLOOKUP(AI78,S4:U53,3,0))</f>
        <v>#VALUE!</v>
      </c>
      <c r="AK78" s="8" t="str">
        <f t="shared" si="73"/>
        <v/>
      </c>
      <c r="AM78" s="71" t="e">
        <f t="shared" si="74"/>
        <v>#VALUE!</v>
      </c>
      <c r="AN78" s="71" t="str">
        <f>IF(OR(COUNTBLANK(AQ78)=1,ISERROR(AQ78)),"",COUNT(AQ4:AQ78))</f>
        <v/>
      </c>
      <c r="AO78" s="7" t="e">
        <f t="shared" si="75"/>
        <v>#VALUE!</v>
      </c>
      <c r="AP78" s="1" t="str">
        <f>IF(ISERROR(INDEX(C4:C8,MATCH(H78,D4:D8,0))),"",INDEX(C4:C8,MATCH(H78,D4:D8,0)))</f>
        <v/>
      </c>
      <c r="AQ78" s="79" t="e">
        <f>IF(IF(COUNTIF(AQ4:AQ77,AQ75)&gt;=MAX(D4:D8),AQ75+3,AQ75)&gt;50,"",IF(COUNTIF(AQ4:AQ77,AQ75)&gt;=MAX(D4:D8),AQ75+3,AQ75))</f>
        <v>#VALUE!</v>
      </c>
      <c r="AR78" s="1" t="e">
        <f>IF(AQ78="","",VLOOKUP(AQ78,S4:U53,3,0))</f>
        <v>#VALUE!</v>
      </c>
      <c r="AS78" s="8" t="str">
        <f t="shared" si="76"/>
        <v/>
      </c>
      <c r="AU78" s="71" t="e">
        <f t="shared" si="77"/>
        <v>#VALUE!</v>
      </c>
      <c r="AV78" s="71" t="str">
        <f>IF(OR(COUNTBLANK(AY78)=1,ISERROR(AY78)),"",COUNT(AY4:AY78))</f>
        <v/>
      </c>
      <c r="AW78" s="7" t="e">
        <f t="shared" si="78"/>
        <v>#VALUE!</v>
      </c>
      <c r="AX78" s="1" t="str">
        <f>IF(ISERROR(INDEX(C4:C8,MATCH(I78,D4:D8,0))),"",INDEX(C4:C8,MATCH(I78,D4:D8,0)))</f>
        <v/>
      </c>
      <c r="AY78" s="79" t="e">
        <f>IF(IF(COUNTIF(AY4:AY77,AY74)&gt;=MAX(D4:D8),AY74+4,AY74)&gt;50,"",IF(COUNTIF(AY4:AY77,AY74)&gt;=MAX(D4:D8),AY74+4,AY74))</f>
        <v>#VALUE!</v>
      </c>
      <c r="AZ78" s="76" t="e">
        <f>IF(AY78="","",VLOOKUP(AY78,S4:U53,3,0))</f>
        <v>#VALUE!</v>
      </c>
      <c r="BA78" s="8" t="str">
        <f t="shared" si="79"/>
        <v/>
      </c>
      <c r="BC78" s="71" t="e">
        <f t="shared" si="80"/>
        <v>#VALUE!</v>
      </c>
      <c r="BD78" s="71" t="str">
        <f>IF(OR(COUNTBLANK(BG78)=1,ISERROR(BG78)),"",COUNT(BG4:BG78))</f>
        <v/>
      </c>
      <c r="BE78" s="7" t="e">
        <f t="shared" si="81"/>
        <v>#VALUE!</v>
      </c>
      <c r="BF78" s="1" t="str">
        <f>IF(ISERROR(INDEX(C4:C8,MATCH(J78,D4:D8,0))),"",INDEX(C4:C8,MATCH(J78,D4:D8,0)))</f>
        <v/>
      </c>
      <c r="BG78" s="79" t="e">
        <f>IF(IF(COUNTIF(BG4:BG77,BG73)&gt;=MAX(D4:D8),BG73+5,BG73)&gt;50,"",IF(COUNTIF(BG4:BG77,BG73)&gt;=MAX(D4:D8),BG73+5,BG73))</f>
        <v>#VALUE!</v>
      </c>
      <c r="BH78" s="76" t="e">
        <f>IF(BG78="","",VLOOKUP(BG78,S4:U53,3,0))</f>
        <v>#VALUE!</v>
      </c>
      <c r="BI78" s="8" t="str">
        <f t="shared" si="82"/>
        <v/>
      </c>
      <c r="BP78" s="71" t="e">
        <f>IF(BT78="","",BT78*10+5)</f>
        <v>#VALUE!</v>
      </c>
      <c r="BQ78" s="71" t="str">
        <f>IF(OR(COUNTBLANK(BT78)=1,ISERROR(BT78)),"",COUNT(BT4:BT78))</f>
        <v/>
      </c>
      <c r="BR78" s="7" t="e">
        <f t="shared" si="84"/>
        <v>#VALUE!</v>
      </c>
      <c r="BS78" s="1" t="str">
        <f t="shared" si="85"/>
        <v/>
      </c>
      <c r="BT78" s="79" t="e">
        <f>IF(IF(COUNTIF($BT$4:BT77,BT77)&gt;=MAX($D$4:$D$8),BT77+1,BT77)&gt;55,"",IF(COUNTIF($BT$4:BT77,BT77)&gt;=MAX($D$4:$D$8),BT77+1,BT77))</f>
        <v>#VALUE!</v>
      </c>
      <c r="BU78" s="1" t="e">
        <f t="shared" si="86"/>
        <v>#VALUE!</v>
      </c>
      <c r="BV78" s="8" t="str">
        <f t="shared" si="87"/>
        <v/>
      </c>
      <c r="BX78" s="71" t="e">
        <f t="shared" si="88"/>
        <v>#VALUE!</v>
      </c>
      <c r="BY78" s="71" t="str">
        <f>IF(OR(COUNTBLANK(CB78)=1,ISERROR(CB78)),"",COUNT($CB$4:CB78))</f>
        <v/>
      </c>
      <c r="BZ78" s="7" t="e">
        <f t="shared" si="89"/>
        <v>#VALUE!</v>
      </c>
      <c r="CA78" s="1" t="str">
        <f t="shared" si="90"/>
        <v/>
      </c>
      <c r="CB78" s="79" t="e">
        <f>IF(IF(COUNTIF($CB$4:CB77,CB76)&gt;=MAX($D$4:$D$8),CB76+2,CB76)&gt;55,"",IF(COUNTIF($CB$4:CB77,CB76)&gt;=MAX($D$4:$D$8),CB76+2,CB76))</f>
        <v>#VALUE!</v>
      </c>
      <c r="CC78" s="1" t="e">
        <f t="shared" si="91"/>
        <v>#VALUE!</v>
      </c>
      <c r="CD78" s="8" t="str">
        <f t="shared" si="92"/>
        <v/>
      </c>
      <c r="CF78" s="71" t="e">
        <f t="shared" si="61"/>
        <v>#VALUE!</v>
      </c>
      <c r="CG78" s="71" t="str">
        <f>IF(OR(COUNTBLANK(CJ78)=1,ISERROR(CJ78)),"",COUNT($CJ$4:CJ78))</f>
        <v/>
      </c>
      <c r="CH78" s="7" t="e">
        <f t="shared" si="62"/>
        <v>#VALUE!</v>
      </c>
      <c r="CI78" s="1" t="str">
        <f t="shared" si="63"/>
        <v/>
      </c>
      <c r="CJ78" s="79" t="e">
        <f>IF(IF(COUNTIF($CJ$4:CJ77,CJ75)&gt;=MAX($D$4:$D$8),CJ75+3,CJ75)&gt;55,"",IF(COUNTIF($CJ$4:CJ77,CJ75)&gt;=MAX($D$4:$D$8),CJ75+3,CJ75))</f>
        <v>#VALUE!</v>
      </c>
      <c r="CK78" s="1" t="e">
        <f t="shared" si="93"/>
        <v>#VALUE!</v>
      </c>
      <c r="CL78" s="8" t="str">
        <f t="shared" si="64"/>
        <v/>
      </c>
      <c r="CN78" s="71" t="e">
        <f t="shared" si="99"/>
        <v>#VALUE!</v>
      </c>
      <c r="CO78" s="71" t="str">
        <f>IF(OR(COUNTBLANK(CR78)=1,ISERROR(CR78)),"",COUNT($CR$4:CR78))</f>
        <v/>
      </c>
      <c r="CP78" s="7" t="e">
        <f t="shared" si="100"/>
        <v>#VALUE!</v>
      </c>
      <c r="CQ78" s="1" t="str">
        <f t="shared" si="101"/>
        <v/>
      </c>
      <c r="CR78" s="79" t="e">
        <f>IF(IF(COUNTIF($CR$4:CR77,CR74)&gt;=MAX($D$4:$D$8),CR74+4,CR74)&gt;55,"",IF(COUNTIF($CR$4:CR77,CR74)&gt;=MAX($D$4:$D$8),CR74+4,CR74))</f>
        <v>#VALUE!</v>
      </c>
      <c r="CS78" s="1" t="e">
        <f t="shared" si="94"/>
        <v>#VALUE!</v>
      </c>
      <c r="CT78" s="8" t="str">
        <f t="shared" si="102"/>
        <v/>
      </c>
      <c r="CV78" s="71" t="e">
        <f t="shared" si="65"/>
        <v>#VALUE!</v>
      </c>
      <c r="CW78" s="71" t="str">
        <f>IF(OR(COUNTBLANK(CZ78)=1,ISERROR(CZ78)),"",COUNT($CZ$4:CZ78))</f>
        <v/>
      </c>
      <c r="CX78" s="7" t="e">
        <f t="shared" si="66"/>
        <v>#VALUE!</v>
      </c>
      <c r="CY78" s="1" t="str">
        <f t="shared" si="67"/>
        <v/>
      </c>
      <c r="CZ78" s="79" t="e">
        <f>IF(IF(COUNTIF($CZ$4:CZ77,CZ73)&gt;=MAX($D$4:$D$8),CZ73+5,CZ73)&gt;55,"",IF(COUNTIF($CZ$4:CZ77,CZ73)&gt;=MAX($D$4:$D$8),CZ73+5,CZ73))</f>
        <v>#VALUE!</v>
      </c>
      <c r="DA78" s="1" t="e">
        <f t="shared" si="95"/>
        <v>#VALUE!</v>
      </c>
      <c r="DB78" s="8" t="str">
        <f t="shared" si="68"/>
        <v/>
      </c>
    </row>
    <row r="79" spans="5:106" x14ac:dyDescent="0.15">
      <c r="E79" s="1">
        <v>76</v>
      </c>
      <c r="F79" s="1">
        <f t="shared" si="96"/>
        <v>1</v>
      </c>
      <c r="G79" s="1">
        <f t="shared" si="103"/>
        <v>1</v>
      </c>
      <c r="H79" s="1">
        <f t="shared" si="97"/>
        <v>1</v>
      </c>
      <c r="I79" s="1">
        <f t="shared" si="98"/>
        <v>1</v>
      </c>
      <c r="J79" s="1">
        <f t="shared" si="104"/>
        <v>1</v>
      </c>
      <c r="L79" s="1" t="str">
        <f>IF(ISERROR(HLOOKUP($C$10,$F$3:$J$253,77,0)),"",HLOOKUP($C$10,$F$3:$J$253,77,0))</f>
        <v/>
      </c>
      <c r="W79" s="71" t="e">
        <f>IF(AA79="","",AA79*10+1)</f>
        <v>#VALUE!</v>
      </c>
      <c r="X79" s="71" t="str">
        <f>IF(OR(COUNTBLANK(AA79)=1,ISERROR(AA79)),"",COUNT(AA4:AA79))</f>
        <v/>
      </c>
      <c r="Y79" s="7" t="e">
        <f t="shared" si="69"/>
        <v>#VALUE!</v>
      </c>
      <c r="Z79" s="1" t="str">
        <f t="shared" si="83"/>
        <v/>
      </c>
      <c r="AA79" s="79" t="e">
        <f>IF(IF(COUNTIF(AA4:AA78,AA78)&gt;=MAX(D4:D8),AA78+1,AA78)&gt;50,"",IF(COUNTIF(AA4:AA78,AA78)&gt;=MAX(D4:D8),AA78+1,AA78))</f>
        <v>#VALUE!</v>
      </c>
      <c r="AB79" s="1" t="e">
        <f>IF(AA79="","",VLOOKUP(AA79,S4:U53,3,0))</f>
        <v>#VALUE!</v>
      </c>
      <c r="AC79" s="8" t="str">
        <f t="shared" si="70"/>
        <v/>
      </c>
      <c r="AE79" s="71" t="e">
        <f t="shared" si="71"/>
        <v>#VALUE!</v>
      </c>
      <c r="AF79" s="71" t="str">
        <f>IF(OR(COUNTBLANK(AI79)=1,ISERROR(AI79)),"",COUNT(AI4:AI79))</f>
        <v/>
      </c>
      <c r="AG79" s="7" t="e">
        <f t="shared" si="72"/>
        <v>#VALUE!</v>
      </c>
      <c r="AH79" s="1" t="str">
        <f>IF(ISERROR(INDEX(C4:C8,MATCH(G79,D4:D8,0))),"",INDEX(C4:C8,MATCH(G79,D4:D8,0)))</f>
        <v/>
      </c>
      <c r="AI79" s="79" t="e">
        <f>IF(IF(COUNTIF(AI4:AI77,AI77)&gt;=MAX(D4:D8),AI77+2,AI77)&gt;50,"",IF(COUNTIF(AI4:AI77,AI77)&gt;=MAX(D4:D8),AI77+2,AI77))</f>
        <v>#VALUE!</v>
      </c>
      <c r="AJ79" s="1" t="e">
        <f>IF(AI79="","",VLOOKUP(AI79,S4:U53,3,0))</f>
        <v>#VALUE!</v>
      </c>
      <c r="AK79" s="8" t="str">
        <f t="shared" si="73"/>
        <v/>
      </c>
      <c r="AM79" s="71" t="e">
        <f t="shared" si="74"/>
        <v>#VALUE!</v>
      </c>
      <c r="AN79" s="71" t="str">
        <f>IF(OR(COUNTBLANK(AQ79)=1,ISERROR(AQ79)),"",COUNT(AQ4:AQ79))</f>
        <v/>
      </c>
      <c r="AO79" s="7" t="e">
        <f t="shared" si="75"/>
        <v>#VALUE!</v>
      </c>
      <c r="AP79" s="1" t="str">
        <f>IF(ISERROR(INDEX(C4:C8,MATCH(H79,D4:D8,0))),"",INDEX(C4:C8,MATCH(H79,D4:D8,0)))</f>
        <v/>
      </c>
      <c r="AQ79" s="79" t="e">
        <f>IF(IF(COUNTIF(AQ4:AQ78,AQ76)&gt;=MAX(D4:D8),AQ76+3,AQ76)&gt;50,"",IF(COUNTIF(AQ4:AQ78,AQ76)&gt;=MAX(D4:D8),AQ76+3,AQ76))</f>
        <v>#VALUE!</v>
      </c>
      <c r="AR79" s="1" t="e">
        <f>IF(AQ79="","",VLOOKUP(AQ79,S4:U53,3,0))</f>
        <v>#VALUE!</v>
      </c>
      <c r="AS79" s="8" t="str">
        <f t="shared" si="76"/>
        <v/>
      </c>
      <c r="AU79" s="71" t="e">
        <f t="shared" si="77"/>
        <v>#VALUE!</v>
      </c>
      <c r="AV79" s="71" t="str">
        <f>IF(OR(COUNTBLANK(AY79)=1,ISERROR(AY79)),"",COUNT(AY4:AY79))</f>
        <v/>
      </c>
      <c r="AW79" s="7" t="e">
        <f t="shared" si="78"/>
        <v>#VALUE!</v>
      </c>
      <c r="AX79" s="1" t="str">
        <f>IF(ISERROR(INDEX(C4:C8,MATCH(I79,D4:D8,0))),"",INDEX(C4:C8,MATCH(I79,D4:D8,0)))</f>
        <v/>
      </c>
      <c r="AY79" s="79" t="e">
        <f>IF(IF(COUNTIF(AY4:AY78,AY75)&gt;=MAX(D4:D8),AY75+4,AY75)&gt;50,"",IF(COUNTIF(AY4:AY78,AY75)&gt;=MAX(D4:D8),AY75+4,AY75))</f>
        <v>#VALUE!</v>
      </c>
      <c r="AZ79" s="76" t="e">
        <f>IF(AY79="","",VLOOKUP(AY79,S4:U53,3,0))</f>
        <v>#VALUE!</v>
      </c>
      <c r="BA79" s="8" t="str">
        <f t="shared" si="79"/>
        <v/>
      </c>
      <c r="BC79" s="71" t="e">
        <f t="shared" si="80"/>
        <v>#VALUE!</v>
      </c>
      <c r="BD79" s="71" t="str">
        <f>IF(OR(COUNTBLANK(BG79)=1,ISERROR(BG79)),"",COUNT(BG4:BG79))</f>
        <v/>
      </c>
      <c r="BE79" s="7" t="e">
        <f t="shared" si="81"/>
        <v>#VALUE!</v>
      </c>
      <c r="BF79" s="1" t="str">
        <f>IF(ISERROR(INDEX(C4:C8,MATCH(J79,D4:D8,0))),"",INDEX(C4:C8,MATCH(J79,D4:D8,0)))</f>
        <v/>
      </c>
      <c r="BG79" s="79" t="e">
        <f>IF(IF(COUNTIF(BG4:BG78,BG74)&gt;=MAX(D4:D8),BG74+5,BG74)&gt;50,"",IF(COUNTIF(BG4:BG78,BG74)&gt;=MAX(D4:D8),BG74+5,BG74))</f>
        <v>#VALUE!</v>
      </c>
      <c r="BH79" s="76" t="e">
        <f>IF(BG79="","",VLOOKUP(BG79,S4:U53,3,0))</f>
        <v>#VALUE!</v>
      </c>
      <c r="BI79" s="8" t="str">
        <f t="shared" si="82"/>
        <v/>
      </c>
      <c r="BP79" s="71" t="e">
        <f>IF(BT79="","",BT79*10+1)</f>
        <v>#VALUE!</v>
      </c>
      <c r="BQ79" s="71" t="str">
        <f>IF(OR(COUNTBLANK(BT79)=1,ISERROR(BT79)),"",COUNT(BT4:BT79))</f>
        <v/>
      </c>
      <c r="BR79" s="7" t="e">
        <f t="shared" si="84"/>
        <v>#VALUE!</v>
      </c>
      <c r="BS79" s="1" t="str">
        <f t="shared" si="85"/>
        <v/>
      </c>
      <c r="BT79" s="79" t="e">
        <f>IF(IF(COUNTIF($BT$4:BT78,BT78)&gt;=MAX($D$4:$D$8),BT78+1,BT78)&gt;55,"",IF(COUNTIF($BT$4:BT78,BT78)&gt;=MAX($D$4:$D$8),BT78+1,BT78))</f>
        <v>#VALUE!</v>
      </c>
      <c r="BU79" s="1" t="e">
        <f t="shared" si="86"/>
        <v>#VALUE!</v>
      </c>
      <c r="BV79" s="8" t="str">
        <f t="shared" si="87"/>
        <v/>
      </c>
      <c r="BX79" s="71" t="e">
        <f t="shared" si="88"/>
        <v>#VALUE!</v>
      </c>
      <c r="BY79" s="71" t="str">
        <f>IF(OR(COUNTBLANK(CB79)=1,ISERROR(CB79)),"",COUNT($CB$4:CB79))</f>
        <v/>
      </c>
      <c r="BZ79" s="7" t="e">
        <f t="shared" si="89"/>
        <v>#VALUE!</v>
      </c>
      <c r="CA79" s="1" t="str">
        <f t="shared" si="90"/>
        <v/>
      </c>
      <c r="CB79" s="79" t="e">
        <f>IF(IF(COUNTIF($CB$4:CB78,CB77)&gt;=MAX($D$4:$D$8),CB77+2,CB77)&gt;55,"",IF(COUNTIF($CB$4:CB78,CB77)&gt;=MAX($D$4:$D$8),CB77+2,CB77))</f>
        <v>#VALUE!</v>
      </c>
      <c r="CC79" s="1" t="e">
        <f t="shared" si="91"/>
        <v>#VALUE!</v>
      </c>
      <c r="CD79" s="8" t="str">
        <f t="shared" si="92"/>
        <v/>
      </c>
      <c r="CF79" s="71" t="e">
        <f t="shared" si="61"/>
        <v>#VALUE!</v>
      </c>
      <c r="CG79" s="71" t="str">
        <f>IF(OR(COUNTBLANK(CJ79)=1,ISERROR(CJ79)),"",COUNT($CJ$4:CJ79))</f>
        <v/>
      </c>
      <c r="CH79" s="7" t="e">
        <f t="shared" si="62"/>
        <v>#VALUE!</v>
      </c>
      <c r="CI79" s="1" t="str">
        <f t="shared" si="63"/>
        <v/>
      </c>
      <c r="CJ79" s="79" t="e">
        <f>IF(IF(COUNTIF($CJ$4:CJ78,CJ76)&gt;=MAX($D$4:$D$8),CJ76+3,CJ76)&gt;55,"",IF(COUNTIF($CJ$4:CJ78,CJ76)&gt;=MAX($D$4:$D$8),CJ76+3,CJ76))</f>
        <v>#VALUE!</v>
      </c>
      <c r="CK79" s="1" t="e">
        <f t="shared" si="93"/>
        <v>#VALUE!</v>
      </c>
      <c r="CL79" s="8" t="str">
        <f t="shared" si="64"/>
        <v/>
      </c>
      <c r="CN79" s="71" t="e">
        <f t="shared" si="99"/>
        <v>#VALUE!</v>
      </c>
      <c r="CO79" s="71" t="str">
        <f>IF(OR(COUNTBLANK(CR79)=1,ISERROR(CR79)),"",COUNT($CR$4:CR79))</f>
        <v/>
      </c>
      <c r="CP79" s="7" t="e">
        <f t="shared" si="100"/>
        <v>#VALUE!</v>
      </c>
      <c r="CQ79" s="1" t="str">
        <f t="shared" si="101"/>
        <v/>
      </c>
      <c r="CR79" s="79" t="e">
        <f>IF(IF(COUNTIF($CR$4:CR78,CR75)&gt;=MAX($D$4:$D$8),CR75+4,CR75)&gt;55,"",IF(COUNTIF($CR$4:CR78,CR75)&gt;=MAX($D$4:$D$8),CR75+4,CR75))</f>
        <v>#VALUE!</v>
      </c>
      <c r="CS79" s="1" t="e">
        <f t="shared" si="94"/>
        <v>#VALUE!</v>
      </c>
      <c r="CT79" s="8" t="str">
        <f t="shared" si="102"/>
        <v/>
      </c>
      <c r="CV79" s="71" t="e">
        <f t="shared" si="65"/>
        <v>#VALUE!</v>
      </c>
      <c r="CW79" s="71" t="str">
        <f>IF(OR(COUNTBLANK(CZ79)=1,ISERROR(CZ79)),"",COUNT($CZ$4:CZ79))</f>
        <v/>
      </c>
      <c r="CX79" s="7" t="e">
        <f t="shared" si="66"/>
        <v>#VALUE!</v>
      </c>
      <c r="CY79" s="1" t="str">
        <f t="shared" si="67"/>
        <v/>
      </c>
      <c r="CZ79" s="79" t="e">
        <f>IF(IF(COUNTIF($CZ$4:CZ78,CZ74)&gt;=MAX($D$4:$D$8),CZ74+5,CZ74)&gt;55,"",IF(COUNTIF($CZ$4:CZ78,CZ74)&gt;=MAX($D$4:$D$8),CZ74+5,CZ74))</f>
        <v>#VALUE!</v>
      </c>
      <c r="DA79" s="1" t="e">
        <f t="shared" si="95"/>
        <v>#VALUE!</v>
      </c>
      <c r="DB79" s="8" t="str">
        <f t="shared" si="68"/>
        <v/>
      </c>
    </row>
    <row r="80" spans="5:106" x14ac:dyDescent="0.15">
      <c r="E80" s="1">
        <v>77</v>
      </c>
      <c r="F80" s="1">
        <f t="shared" si="96"/>
        <v>1</v>
      </c>
      <c r="G80" s="1">
        <f t="shared" si="103"/>
        <v>1</v>
      </c>
      <c r="H80" s="1">
        <f t="shared" si="97"/>
        <v>1</v>
      </c>
      <c r="I80" s="1">
        <f t="shared" si="98"/>
        <v>1</v>
      </c>
      <c r="J80" s="1">
        <f t="shared" si="104"/>
        <v>1</v>
      </c>
      <c r="L80" s="1" t="str">
        <f>IF(ISERROR(HLOOKUP($C$10,$F$3:$J$253,78,0)),"",HLOOKUP($C$10,$F$3:$J$253,78,0))</f>
        <v/>
      </c>
      <c r="W80" s="71" t="e">
        <f>IF(AA80="","",AA80*10+2)</f>
        <v>#VALUE!</v>
      </c>
      <c r="X80" s="71" t="str">
        <f>IF(OR(COUNTBLANK(AA80)=1,ISERROR(AA80)),"",COUNT(AA4:AA80))</f>
        <v/>
      </c>
      <c r="Y80" s="7" t="e">
        <f t="shared" si="69"/>
        <v>#VALUE!</v>
      </c>
      <c r="Z80" s="1" t="str">
        <f t="shared" si="83"/>
        <v/>
      </c>
      <c r="AA80" s="79" t="e">
        <f>IF(IF(COUNTIF(AA4:AA79,AA79)&gt;=MAX(D4:D8),AA79+1,AA79)&gt;50,"",IF(COUNTIF(AA4:AA79,AA79)&gt;=MAX(D4:D8),AA79+1,AA79))</f>
        <v>#VALUE!</v>
      </c>
      <c r="AB80" s="1" t="e">
        <f>IF(AA80="","",VLOOKUP(AA80,S4:U53,3,0))</f>
        <v>#VALUE!</v>
      </c>
      <c r="AC80" s="8" t="str">
        <f t="shared" si="70"/>
        <v/>
      </c>
      <c r="AE80" s="71" t="e">
        <f t="shared" si="71"/>
        <v>#VALUE!</v>
      </c>
      <c r="AF80" s="71" t="str">
        <f>IF(OR(COUNTBLANK(AI80)=1,ISERROR(AI80)),"",COUNT(AI4:AI80))</f>
        <v/>
      </c>
      <c r="AG80" s="7" t="e">
        <f t="shared" si="72"/>
        <v>#VALUE!</v>
      </c>
      <c r="AH80" s="1" t="str">
        <f>IF(ISERROR(INDEX(C4:C8,MATCH(G80,D4:D8,0))),"",INDEX(C4:C8,MATCH(G80,D4:D8,0)))</f>
        <v/>
      </c>
      <c r="AI80" s="79" t="e">
        <f>IF(IF(COUNTIF(AI4:AI79,AI78)&gt;=MAX(D4:D8),AI78+2,AI78)&gt;50,"",IF(COUNTIF(AI4:AI79,AI78)&gt;=MAX(D4:D8),AI78+2,AI78))</f>
        <v>#VALUE!</v>
      </c>
      <c r="AJ80" s="1" t="e">
        <f>IF(AI80="","",VLOOKUP(AI80,S4:U53,3,0))</f>
        <v>#VALUE!</v>
      </c>
      <c r="AK80" s="8" t="str">
        <f t="shared" si="73"/>
        <v/>
      </c>
      <c r="AM80" s="71" t="e">
        <f t="shared" si="74"/>
        <v>#VALUE!</v>
      </c>
      <c r="AN80" s="71" t="str">
        <f>IF(OR(COUNTBLANK(AQ80)=1,ISERROR(AQ80)),"",COUNT(AQ4:AQ80))</f>
        <v/>
      </c>
      <c r="AO80" s="7" t="e">
        <f t="shared" si="75"/>
        <v>#VALUE!</v>
      </c>
      <c r="AP80" s="1" t="str">
        <f>IF(ISERROR(INDEX(C4:C8,MATCH(H80,D4:D8,0))),"",INDEX(C4:C8,MATCH(H80,D4:D8,0)))</f>
        <v/>
      </c>
      <c r="AQ80" s="79" t="e">
        <f>IF(IF(COUNTIF(AQ4:AQ79,AQ77)&gt;=MAX(D4:D8),AQ77+3,AQ77)&gt;50,"",IF(COUNTIF(AQ4:AQ79,AQ77)&gt;=MAX(D4:D8),AQ77+3,AQ77))</f>
        <v>#VALUE!</v>
      </c>
      <c r="AR80" s="1" t="e">
        <f>IF(AQ80="","",VLOOKUP(AQ80,S4:U53,3,0))</f>
        <v>#VALUE!</v>
      </c>
      <c r="AS80" s="8" t="str">
        <f t="shared" si="76"/>
        <v/>
      </c>
      <c r="AU80" s="71" t="e">
        <f t="shared" si="77"/>
        <v>#VALUE!</v>
      </c>
      <c r="AV80" s="71" t="str">
        <f>IF(OR(COUNTBLANK(AY80)=1,ISERROR(AY80)),"",COUNT(AY4:AY80))</f>
        <v/>
      </c>
      <c r="AW80" s="7" t="e">
        <f t="shared" si="78"/>
        <v>#VALUE!</v>
      </c>
      <c r="AX80" s="1" t="str">
        <f>IF(ISERROR(INDEX(C4:C8,MATCH(I80,D4:D8,0))),"",INDEX(C4:C8,MATCH(I80,D4:D8,0)))</f>
        <v/>
      </c>
      <c r="AY80" s="79" t="e">
        <f>IF(IF(COUNTIF(AY4:AY79,AY76)&gt;=MAX(D4:D8),AY76+4,AY76)&gt;50,"",IF(COUNTIF(AY4:AY79,AY76)&gt;=MAX(D4:D8),AY76+4,AY76))</f>
        <v>#VALUE!</v>
      </c>
      <c r="AZ80" s="76" t="e">
        <f>IF(AY80="","",VLOOKUP(AY80,S4:U53,3,0))</f>
        <v>#VALUE!</v>
      </c>
      <c r="BA80" s="8" t="str">
        <f t="shared" si="79"/>
        <v/>
      </c>
      <c r="BC80" s="71" t="e">
        <f t="shared" si="80"/>
        <v>#VALUE!</v>
      </c>
      <c r="BD80" s="71" t="str">
        <f>IF(OR(COUNTBLANK(BG80)=1,ISERROR(BG80)),"",COUNT(BG4:BG80))</f>
        <v/>
      </c>
      <c r="BE80" s="7" t="e">
        <f t="shared" si="81"/>
        <v>#VALUE!</v>
      </c>
      <c r="BF80" s="1" t="str">
        <f>IF(ISERROR(INDEX(C4:C8,MATCH(J80,D4:D8,0))),"",INDEX(C4:C8,MATCH(J80,D4:D8,0)))</f>
        <v/>
      </c>
      <c r="BG80" s="79" t="e">
        <f>IF(IF(COUNTIF(BG4:BG79,BG75)&gt;=MAX(D4:D8),BG75+5,BG75)&gt;50,"",IF(COUNTIF(BG4:BG79,BG75)&gt;=MAX(D4:D8),BG75+5,BG75))</f>
        <v>#VALUE!</v>
      </c>
      <c r="BH80" s="76" t="e">
        <f>IF(BG80="","",VLOOKUP(BG80,S4:U53,3,0))</f>
        <v>#VALUE!</v>
      </c>
      <c r="BI80" s="8" t="str">
        <f t="shared" si="82"/>
        <v/>
      </c>
      <c r="BP80" s="71" t="e">
        <f>IF(BT80="","",BT80*10+2)</f>
        <v>#VALUE!</v>
      </c>
      <c r="BQ80" s="71" t="str">
        <f>IF(OR(COUNTBLANK(BT80)=1,ISERROR(BT80)),"",COUNT(BT4:BT80))</f>
        <v/>
      </c>
      <c r="BR80" s="7" t="e">
        <f t="shared" si="84"/>
        <v>#VALUE!</v>
      </c>
      <c r="BS80" s="1" t="str">
        <f t="shared" si="85"/>
        <v/>
      </c>
      <c r="BT80" s="79" t="e">
        <f>IF(IF(COUNTIF($BT$4:BT79,BT79)&gt;=MAX($D$4:$D$8),BT79+1,BT79)&gt;55,"",IF(COUNTIF($BT$4:BT79,BT79)&gt;=MAX($D$4:$D$8),BT79+1,BT79))</f>
        <v>#VALUE!</v>
      </c>
      <c r="BU80" s="1" t="e">
        <f t="shared" si="86"/>
        <v>#VALUE!</v>
      </c>
      <c r="BV80" s="8" t="str">
        <f t="shared" si="87"/>
        <v/>
      </c>
      <c r="BX80" s="71" t="e">
        <f t="shared" si="88"/>
        <v>#VALUE!</v>
      </c>
      <c r="BY80" s="71" t="str">
        <f>IF(OR(COUNTBLANK(CB80)=1,ISERROR(CB80)),"",COUNT($CB$4:CB80))</f>
        <v/>
      </c>
      <c r="BZ80" s="7" t="e">
        <f t="shared" si="89"/>
        <v>#VALUE!</v>
      </c>
      <c r="CA80" s="1" t="str">
        <f t="shared" si="90"/>
        <v/>
      </c>
      <c r="CB80" s="79" t="e">
        <f>IF(IF(COUNTIF($CB$4:CB79,CB78)&gt;=MAX($D$4:$D$8),CB78+2,CB78)&gt;55,"",IF(COUNTIF($CB$4:CB79,CB78)&gt;=MAX($D$4:$D$8),CB78+2,CB78))</f>
        <v>#VALUE!</v>
      </c>
      <c r="CC80" s="1" t="e">
        <f t="shared" si="91"/>
        <v>#VALUE!</v>
      </c>
      <c r="CD80" s="8" t="str">
        <f t="shared" si="92"/>
        <v/>
      </c>
      <c r="CF80" s="71" t="e">
        <f t="shared" si="61"/>
        <v>#VALUE!</v>
      </c>
      <c r="CG80" s="71" t="str">
        <f>IF(OR(COUNTBLANK(CJ80)=1,ISERROR(CJ80)),"",COUNT($CJ$4:CJ80))</f>
        <v/>
      </c>
      <c r="CH80" s="7" t="e">
        <f t="shared" si="62"/>
        <v>#VALUE!</v>
      </c>
      <c r="CI80" s="1" t="str">
        <f t="shared" si="63"/>
        <v/>
      </c>
      <c r="CJ80" s="79" t="e">
        <f>IF(IF(COUNTIF($CJ$4:CJ79,CJ77)&gt;=MAX($D$4:$D$8),CJ77+3,CJ77)&gt;55,"",IF(COUNTIF($CJ$4:CJ79,CJ77)&gt;=MAX($D$4:$D$8),CJ77+3,CJ77))</f>
        <v>#VALUE!</v>
      </c>
      <c r="CK80" s="1" t="e">
        <f t="shared" si="93"/>
        <v>#VALUE!</v>
      </c>
      <c r="CL80" s="8" t="str">
        <f t="shared" si="64"/>
        <v/>
      </c>
      <c r="CN80" s="71" t="e">
        <f t="shared" si="99"/>
        <v>#VALUE!</v>
      </c>
      <c r="CO80" s="71" t="str">
        <f>IF(OR(COUNTBLANK(CR80)=1,ISERROR(CR80)),"",COUNT($CR$4:CR80))</f>
        <v/>
      </c>
      <c r="CP80" s="7" t="e">
        <f t="shared" si="100"/>
        <v>#VALUE!</v>
      </c>
      <c r="CQ80" s="1" t="str">
        <f t="shared" si="101"/>
        <v/>
      </c>
      <c r="CR80" s="79" t="e">
        <f>IF(IF(COUNTIF($CR$4:CR79,CR76)&gt;=MAX($D$4:$D$8),CR76+4,CR76)&gt;55,"",IF(COUNTIF($CR$4:CR79,CR76)&gt;=MAX($D$4:$D$8),CR76+4,CR76))</f>
        <v>#VALUE!</v>
      </c>
      <c r="CS80" s="1" t="e">
        <f t="shared" si="94"/>
        <v>#VALUE!</v>
      </c>
      <c r="CT80" s="8" t="str">
        <f t="shared" si="102"/>
        <v/>
      </c>
      <c r="CV80" s="71" t="e">
        <f t="shared" si="65"/>
        <v>#VALUE!</v>
      </c>
      <c r="CW80" s="71" t="str">
        <f>IF(OR(COUNTBLANK(CZ80)=1,ISERROR(CZ80)),"",COUNT($CZ$4:CZ80))</f>
        <v/>
      </c>
      <c r="CX80" s="7" t="e">
        <f t="shared" si="66"/>
        <v>#VALUE!</v>
      </c>
      <c r="CY80" s="1" t="str">
        <f t="shared" si="67"/>
        <v/>
      </c>
      <c r="CZ80" s="79" t="e">
        <f>IF(IF(COUNTIF($CZ$4:CZ79,CZ75)&gt;=MAX($D$4:$D$8),CZ75+5,CZ75)&gt;55,"",IF(COUNTIF($CZ$4:CZ79,CZ75)&gt;=MAX($D$4:$D$8),CZ75+5,CZ75))</f>
        <v>#VALUE!</v>
      </c>
      <c r="DA80" s="1" t="e">
        <f t="shared" si="95"/>
        <v>#VALUE!</v>
      </c>
      <c r="DB80" s="8" t="str">
        <f t="shared" si="68"/>
        <v/>
      </c>
    </row>
    <row r="81" spans="5:106" x14ac:dyDescent="0.15">
      <c r="E81" s="1">
        <v>78</v>
      </c>
      <c r="F81" s="1">
        <f t="shared" si="96"/>
        <v>1</v>
      </c>
      <c r="G81" s="1">
        <f t="shared" si="103"/>
        <v>1</v>
      </c>
      <c r="H81" s="1">
        <f t="shared" si="97"/>
        <v>1</v>
      </c>
      <c r="I81" s="1">
        <f t="shared" si="98"/>
        <v>1</v>
      </c>
      <c r="J81" s="1">
        <f t="shared" si="104"/>
        <v>1</v>
      </c>
      <c r="L81" s="1" t="str">
        <f>IF(ISERROR(HLOOKUP($C$10,$F$3:$J$253,79,0)),"",HLOOKUP($C$10,$F$3:$J$253,79,0))</f>
        <v/>
      </c>
      <c r="W81" s="71" t="e">
        <f>IF(AA81="","",AA81*10+3)</f>
        <v>#VALUE!</v>
      </c>
      <c r="X81" s="71" t="str">
        <f>IF(OR(COUNTBLANK(AA81)=1,ISERROR(AA81)),"",COUNT(AA4:AA81))</f>
        <v/>
      </c>
      <c r="Y81" s="7" t="e">
        <f t="shared" si="69"/>
        <v>#VALUE!</v>
      </c>
      <c r="Z81" s="1" t="str">
        <f t="shared" si="83"/>
        <v/>
      </c>
      <c r="AA81" s="79" t="e">
        <f>IF(IF(COUNTIF(AA4:AA80,AA80)&gt;=MAX(D4:D8),AA80+1,AA80)&gt;50,"",IF(COUNTIF(AA4:AA80,AA80)&gt;=MAX(D4:D8),AA80+1,AA80))</f>
        <v>#VALUE!</v>
      </c>
      <c r="AB81" s="1" t="e">
        <f>IF(AA81="","",VLOOKUP(AA81,S4:U53,3,0))</f>
        <v>#VALUE!</v>
      </c>
      <c r="AC81" s="8" t="str">
        <f t="shared" si="70"/>
        <v/>
      </c>
      <c r="AE81" s="71" t="e">
        <f t="shared" si="71"/>
        <v>#VALUE!</v>
      </c>
      <c r="AF81" s="71" t="str">
        <f>IF(OR(COUNTBLANK(AI81)=1,ISERROR(AI81)),"",COUNT(AI4:AI81))</f>
        <v/>
      </c>
      <c r="AG81" s="7" t="e">
        <f t="shared" si="72"/>
        <v>#VALUE!</v>
      </c>
      <c r="AH81" s="1" t="str">
        <f>IF(ISERROR(INDEX(C4:C8,MATCH(G81,D4:D8,0))),"",INDEX(C4:C8,MATCH(G81,D4:D8,0)))</f>
        <v/>
      </c>
      <c r="AI81" s="79" t="e">
        <f>IF(IF(COUNTIF(AI4:AI79,AI79)&gt;=MAX(D4:D8),AI79+2,AI79)&gt;50,"",IF(COUNTIF(AI4:AI79,AI79)&gt;=MAX(D4:D8),AI79+2,AI79))</f>
        <v>#VALUE!</v>
      </c>
      <c r="AJ81" s="1" t="e">
        <f>IF(AI81="","",VLOOKUP(AI81,S4:U53,3,0))</f>
        <v>#VALUE!</v>
      </c>
      <c r="AK81" s="8" t="str">
        <f t="shared" si="73"/>
        <v/>
      </c>
      <c r="AM81" s="71" t="e">
        <f t="shared" si="74"/>
        <v>#VALUE!</v>
      </c>
      <c r="AN81" s="71" t="str">
        <f>IF(OR(COUNTBLANK(AQ81)=1,ISERROR(AQ81)),"",COUNT(AQ4:AQ81))</f>
        <v/>
      </c>
      <c r="AO81" s="7" t="e">
        <f t="shared" si="75"/>
        <v>#VALUE!</v>
      </c>
      <c r="AP81" s="1" t="str">
        <f>IF(ISERROR(INDEX(C4:C8,MATCH(H81,D4:D8,0))),"",INDEX(C4:C8,MATCH(H81,D4:D8,0)))</f>
        <v/>
      </c>
      <c r="AQ81" s="79" t="e">
        <f>IF(IF(COUNTIF(AQ4:AQ80,AQ78)&gt;=MAX(D4:D8),AQ78+3,AQ78)&gt;50,"",IF(COUNTIF(AQ4:AQ80,AQ78)&gt;=MAX(D4:D8),AQ78+3,AQ78))</f>
        <v>#VALUE!</v>
      </c>
      <c r="AR81" s="1" t="e">
        <f>IF(AQ81="","",VLOOKUP(AQ81,S4:U53,3,0))</f>
        <v>#VALUE!</v>
      </c>
      <c r="AS81" s="8" t="str">
        <f t="shared" si="76"/>
        <v/>
      </c>
      <c r="AU81" s="71" t="e">
        <f t="shared" si="77"/>
        <v>#VALUE!</v>
      </c>
      <c r="AV81" s="71" t="str">
        <f>IF(OR(COUNTBLANK(AY81)=1,ISERROR(AY81)),"",COUNT(AY4:AY81))</f>
        <v/>
      </c>
      <c r="AW81" s="7" t="e">
        <f t="shared" si="78"/>
        <v>#VALUE!</v>
      </c>
      <c r="AX81" s="1" t="str">
        <f>IF(ISERROR(INDEX(C4:C8,MATCH(I81,D4:D8,0))),"",INDEX(C4:C8,MATCH(I81,D4:D8,0)))</f>
        <v/>
      </c>
      <c r="AY81" s="79" t="e">
        <f>IF(IF(COUNTIF(AY4:AY80,AY77)&gt;=MAX(D4:D8),AY77+4,AY77)&gt;50,"",IF(COUNTIF(AY4:AY80,AY77)&gt;=MAX(D4:D8),AY77+4,AY77))</f>
        <v>#VALUE!</v>
      </c>
      <c r="AZ81" s="76" t="e">
        <f>IF(AY81="","",VLOOKUP(AY81,S4:U53,3,0))</f>
        <v>#VALUE!</v>
      </c>
      <c r="BA81" s="8" t="str">
        <f t="shared" si="79"/>
        <v/>
      </c>
      <c r="BC81" s="71" t="e">
        <f t="shared" si="80"/>
        <v>#VALUE!</v>
      </c>
      <c r="BD81" s="71" t="str">
        <f>IF(OR(COUNTBLANK(BG81)=1,ISERROR(BG81)),"",COUNT(BG4:BG81))</f>
        <v/>
      </c>
      <c r="BE81" s="7" t="e">
        <f t="shared" si="81"/>
        <v>#VALUE!</v>
      </c>
      <c r="BF81" s="1" t="str">
        <f>IF(ISERROR(INDEX(C4:C8,MATCH(J81,D4:D8,0))),"",INDEX(C4:C8,MATCH(J81,D4:D8,0)))</f>
        <v/>
      </c>
      <c r="BG81" s="79" t="e">
        <f>IF(IF(COUNTIF(BG4:BG80,BG76)&gt;=MAX(D4:D8),BG76+5,BG76)&gt;50,"",IF(COUNTIF(BG4:BG80,BG76)&gt;=MAX(D4:D8),BG76+5,BG76))</f>
        <v>#VALUE!</v>
      </c>
      <c r="BH81" s="76" t="e">
        <f>IF(BG81="","",VLOOKUP(BG81,S4:U53,3,0))</f>
        <v>#VALUE!</v>
      </c>
      <c r="BI81" s="8" t="str">
        <f t="shared" si="82"/>
        <v/>
      </c>
      <c r="BP81" s="71" t="e">
        <f>IF(BT81="","",BT81*10+3)</f>
        <v>#VALUE!</v>
      </c>
      <c r="BQ81" s="71" t="str">
        <f>IF(OR(COUNTBLANK(BT81)=1,ISERROR(BT81)),"",COUNT(BT4:BT81))</f>
        <v/>
      </c>
      <c r="BR81" s="7" t="e">
        <f t="shared" si="84"/>
        <v>#VALUE!</v>
      </c>
      <c r="BS81" s="1" t="str">
        <f t="shared" si="85"/>
        <v/>
      </c>
      <c r="BT81" s="79" t="e">
        <f>IF(IF(COUNTIF($BT$4:BT80,BT80)&gt;=MAX($D$4:$D$8),BT80+1,BT80)&gt;55,"",IF(COUNTIF($BT$4:BT80,BT80)&gt;=MAX($D$4:$D$8),BT80+1,BT80))</f>
        <v>#VALUE!</v>
      </c>
      <c r="BU81" s="1" t="e">
        <f t="shared" si="86"/>
        <v>#VALUE!</v>
      </c>
      <c r="BV81" s="8" t="str">
        <f t="shared" si="87"/>
        <v/>
      </c>
      <c r="BX81" s="71" t="e">
        <f t="shared" si="88"/>
        <v>#VALUE!</v>
      </c>
      <c r="BY81" s="71" t="str">
        <f>IF(OR(COUNTBLANK(CB81)=1,ISERROR(CB81)),"",COUNT($CB$4:CB81))</f>
        <v/>
      </c>
      <c r="BZ81" s="7" t="e">
        <f t="shared" si="89"/>
        <v>#VALUE!</v>
      </c>
      <c r="CA81" s="1" t="str">
        <f t="shared" si="90"/>
        <v/>
      </c>
      <c r="CB81" s="79" t="e">
        <f>IF(IF(COUNTIF($CB$4:CB80,CB79)&gt;=MAX($D$4:$D$8),CB79+2,CB79)&gt;55,"",IF(COUNTIF($CB$4:CB80,CB79)&gt;=MAX($D$4:$D$8),CB79+2,CB79))</f>
        <v>#VALUE!</v>
      </c>
      <c r="CC81" s="1" t="e">
        <f t="shared" si="91"/>
        <v>#VALUE!</v>
      </c>
      <c r="CD81" s="8" t="str">
        <f t="shared" si="92"/>
        <v/>
      </c>
      <c r="CF81" s="71" t="e">
        <f t="shared" si="61"/>
        <v>#VALUE!</v>
      </c>
      <c r="CG81" s="71" t="str">
        <f>IF(OR(COUNTBLANK(CJ81)=1,ISERROR(CJ81)),"",COUNT($CJ$4:CJ81))</f>
        <v/>
      </c>
      <c r="CH81" s="7" t="e">
        <f t="shared" si="62"/>
        <v>#VALUE!</v>
      </c>
      <c r="CI81" s="1" t="str">
        <f t="shared" si="63"/>
        <v/>
      </c>
      <c r="CJ81" s="79" t="e">
        <f>IF(IF(COUNTIF($CJ$4:CJ80,CJ78)&gt;=MAX($D$4:$D$8),CJ78+3,CJ78)&gt;55,"",IF(COUNTIF($CJ$4:CJ80,CJ78)&gt;=MAX($D$4:$D$8),CJ78+3,CJ78))</f>
        <v>#VALUE!</v>
      </c>
      <c r="CK81" s="1" t="e">
        <f t="shared" si="93"/>
        <v>#VALUE!</v>
      </c>
      <c r="CL81" s="8" t="str">
        <f t="shared" si="64"/>
        <v/>
      </c>
      <c r="CN81" s="71" t="e">
        <f t="shared" si="99"/>
        <v>#VALUE!</v>
      </c>
      <c r="CO81" s="71" t="str">
        <f>IF(OR(COUNTBLANK(CR81)=1,ISERROR(CR81)),"",COUNT($CR$4:CR81))</f>
        <v/>
      </c>
      <c r="CP81" s="7" t="e">
        <f t="shared" si="100"/>
        <v>#VALUE!</v>
      </c>
      <c r="CQ81" s="1" t="str">
        <f t="shared" si="101"/>
        <v/>
      </c>
      <c r="CR81" s="79" t="e">
        <f>IF(IF(COUNTIF($CR$4:CR80,CR77)&gt;=MAX($D$4:$D$8),CR77+4,CR77)&gt;55,"",IF(COUNTIF($CR$4:CR80,CR77)&gt;=MAX($D$4:$D$8),CR77+4,CR77))</f>
        <v>#VALUE!</v>
      </c>
      <c r="CS81" s="1" t="e">
        <f t="shared" si="94"/>
        <v>#VALUE!</v>
      </c>
      <c r="CT81" s="8" t="str">
        <f t="shared" si="102"/>
        <v/>
      </c>
      <c r="CV81" s="71" t="e">
        <f t="shared" si="65"/>
        <v>#VALUE!</v>
      </c>
      <c r="CW81" s="71" t="str">
        <f>IF(OR(COUNTBLANK(CZ81)=1,ISERROR(CZ81)),"",COUNT($CZ$4:CZ81))</f>
        <v/>
      </c>
      <c r="CX81" s="7" t="e">
        <f t="shared" si="66"/>
        <v>#VALUE!</v>
      </c>
      <c r="CY81" s="1" t="str">
        <f t="shared" si="67"/>
        <v/>
      </c>
      <c r="CZ81" s="79" t="e">
        <f>IF(IF(COUNTIF($CZ$4:CZ80,CZ76)&gt;=MAX($D$4:$D$8),CZ76+5,CZ76)&gt;55,"",IF(COUNTIF($CZ$4:CZ80,CZ76)&gt;=MAX($D$4:$D$8),CZ76+5,CZ76))</f>
        <v>#VALUE!</v>
      </c>
      <c r="DA81" s="1" t="e">
        <f t="shared" si="95"/>
        <v>#VALUE!</v>
      </c>
      <c r="DB81" s="8" t="str">
        <f t="shared" si="68"/>
        <v/>
      </c>
    </row>
    <row r="82" spans="5:106" x14ac:dyDescent="0.15">
      <c r="E82" s="1">
        <v>79</v>
      </c>
      <c r="F82" s="1">
        <f t="shared" si="96"/>
        <v>1</v>
      </c>
      <c r="G82" s="1">
        <f t="shared" si="103"/>
        <v>1</v>
      </c>
      <c r="H82" s="1">
        <f t="shared" si="97"/>
        <v>1</v>
      </c>
      <c r="I82" s="1">
        <f t="shared" si="98"/>
        <v>1</v>
      </c>
      <c r="J82" s="1">
        <f t="shared" si="104"/>
        <v>1</v>
      </c>
      <c r="L82" s="1" t="str">
        <f>IF(ISERROR(HLOOKUP($C$10,$F$3:$J$253,80,0)),"",HLOOKUP($C$10,$F$3:$J$253,80,0))</f>
        <v/>
      </c>
      <c r="W82" s="71" t="e">
        <f>IF(AA82="","",AA82*10+4)</f>
        <v>#VALUE!</v>
      </c>
      <c r="X82" s="71" t="str">
        <f>IF(OR(COUNTBLANK(AA82)=1,ISERROR(AA82)),"",COUNT(AA4:AA82))</f>
        <v/>
      </c>
      <c r="Y82" s="7" t="e">
        <f t="shared" si="69"/>
        <v>#VALUE!</v>
      </c>
      <c r="Z82" s="1" t="str">
        <f t="shared" si="83"/>
        <v/>
      </c>
      <c r="AA82" s="79" t="e">
        <f>IF(IF(COUNTIF(AA4:AA81,AA81)&gt;=MAX(D4:D8),AA81+1,AA81)&gt;50,"",IF(COUNTIF(AA4:AA81,AA81)&gt;=MAX(D4:D8),AA81+1,AA81))</f>
        <v>#VALUE!</v>
      </c>
      <c r="AB82" s="1" t="e">
        <f>IF(AA82="","",VLOOKUP(AA82,S4:U53,3,0))</f>
        <v>#VALUE!</v>
      </c>
      <c r="AC82" s="8" t="str">
        <f t="shared" si="70"/>
        <v/>
      </c>
      <c r="AE82" s="71" t="e">
        <f t="shared" si="71"/>
        <v>#VALUE!</v>
      </c>
      <c r="AF82" s="71" t="str">
        <f>IF(OR(COUNTBLANK(AI82)=1,ISERROR(AI82)),"",COUNT(AI4:AI82))</f>
        <v/>
      </c>
      <c r="AG82" s="7" t="e">
        <f t="shared" si="72"/>
        <v>#VALUE!</v>
      </c>
      <c r="AH82" s="1" t="str">
        <f>IF(ISERROR(INDEX(C4:C8,MATCH(G82,D4:D8,0))),"",INDEX(C4:C8,MATCH(G82,D4:D8,0)))</f>
        <v/>
      </c>
      <c r="AI82" s="79" t="e">
        <f>IF(IF(COUNTIF(AI4:AI81,AI80)&gt;=MAX(D4:D8),AI80+2,AI80)&gt;50,"",IF(COUNTIF(AI4:AI81,AI80)&gt;=MAX(D4:D8),AI80+2,AI80))</f>
        <v>#VALUE!</v>
      </c>
      <c r="AJ82" s="1" t="e">
        <f>IF(AI82="","",VLOOKUP(AI82,S4:U53,3,0))</f>
        <v>#VALUE!</v>
      </c>
      <c r="AK82" s="8" t="str">
        <f t="shared" si="73"/>
        <v/>
      </c>
      <c r="AM82" s="71" t="e">
        <f t="shared" si="74"/>
        <v>#VALUE!</v>
      </c>
      <c r="AN82" s="71" t="str">
        <f>IF(OR(COUNTBLANK(AQ82)=1,ISERROR(AQ82)),"",COUNT(AQ4:AQ82))</f>
        <v/>
      </c>
      <c r="AO82" s="7" t="e">
        <f t="shared" si="75"/>
        <v>#VALUE!</v>
      </c>
      <c r="AP82" s="1" t="str">
        <f>IF(ISERROR(INDEX(C4:C8,MATCH(H82,D4:D8,0))),"",INDEX(C4:C8,MATCH(H82,D4:D8,0)))</f>
        <v/>
      </c>
      <c r="AQ82" s="79" t="e">
        <f>IF(IF(COUNTIF(AQ4:AQ81,AQ79)&gt;=MAX(D4:D8),AQ79+3,AQ79)&gt;50,"",IF(COUNTIF(AQ4:AQ81,AQ79)&gt;=MAX(D4:D8),AQ79+3,AQ79))</f>
        <v>#VALUE!</v>
      </c>
      <c r="AR82" s="1" t="e">
        <f>IF(AQ82="","",VLOOKUP(AQ82,S4:U53,3,0))</f>
        <v>#VALUE!</v>
      </c>
      <c r="AS82" s="8" t="str">
        <f t="shared" si="76"/>
        <v/>
      </c>
      <c r="AU82" s="71" t="e">
        <f t="shared" si="77"/>
        <v>#VALUE!</v>
      </c>
      <c r="AV82" s="71" t="str">
        <f>IF(OR(COUNTBLANK(AY82)=1,ISERROR(AY82)),"",COUNT(AY4:AY82))</f>
        <v/>
      </c>
      <c r="AW82" s="7" t="e">
        <f t="shared" si="78"/>
        <v>#VALUE!</v>
      </c>
      <c r="AX82" s="1" t="str">
        <f>IF(ISERROR(INDEX(C4:C8,MATCH(I82,D4:D8,0))),"",INDEX(C4:C8,MATCH(I82,D4:D8,0)))</f>
        <v/>
      </c>
      <c r="AY82" s="79" t="e">
        <f>IF(IF(COUNTIF(AY4:AY81,AY78)&gt;=MAX(D4:D8),AY78+4,AY78)&gt;50,"",IF(COUNTIF(AY4:AY81,AY78)&gt;=MAX(D4:D8),AY78+4,AY78))</f>
        <v>#VALUE!</v>
      </c>
      <c r="AZ82" s="76" t="e">
        <f>IF(AY82="","",VLOOKUP(AY82,S4:U53,3,0))</f>
        <v>#VALUE!</v>
      </c>
      <c r="BA82" s="8" t="str">
        <f t="shared" si="79"/>
        <v/>
      </c>
      <c r="BC82" s="71" t="e">
        <f t="shared" si="80"/>
        <v>#VALUE!</v>
      </c>
      <c r="BD82" s="71" t="str">
        <f>IF(OR(COUNTBLANK(BG82)=1,ISERROR(BG82)),"",COUNT(BG4:BG82))</f>
        <v/>
      </c>
      <c r="BE82" s="7" t="e">
        <f t="shared" si="81"/>
        <v>#VALUE!</v>
      </c>
      <c r="BF82" s="1" t="str">
        <f>IF(ISERROR(INDEX(C4:C8,MATCH(J82,D4:D8,0))),"",INDEX(C4:C8,MATCH(J82,D4:D8,0)))</f>
        <v/>
      </c>
      <c r="BG82" s="79" t="e">
        <f>IF(IF(COUNTIF(BG4:BG81,BG77)&gt;=MAX(D4:D8),BG77+5,BG77)&gt;50,"",IF(COUNTIF(BG4:BG81,BG77)&gt;=MAX(D4:D8),BG77+5,BG77))</f>
        <v>#VALUE!</v>
      </c>
      <c r="BH82" s="76" t="e">
        <f>IF(BG82="","",VLOOKUP(BG82,S4:U53,3,0))</f>
        <v>#VALUE!</v>
      </c>
      <c r="BI82" s="8" t="str">
        <f t="shared" si="82"/>
        <v/>
      </c>
      <c r="BP82" s="71" t="e">
        <f>IF(BT82="","",BT82*10+4)</f>
        <v>#VALUE!</v>
      </c>
      <c r="BQ82" s="71" t="str">
        <f>IF(OR(COUNTBLANK(BT82)=1,ISERROR(BT82)),"",COUNT(BT4:BT82))</f>
        <v/>
      </c>
      <c r="BR82" s="7" t="e">
        <f t="shared" si="84"/>
        <v>#VALUE!</v>
      </c>
      <c r="BS82" s="1" t="str">
        <f t="shared" si="85"/>
        <v/>
      </c>
      <c r="BT82" s="79" t="e">
        <f>IF(IF(COUNTIF($BT$4:BT81,BT81)&gt;=MAX($D$4:$D$8),BT81+1,BT81)&gt;55,"",IF(COUNTIF($BT$4:BT81,BT81)&gt;=MAX($D$4:$D$8),BT81+1,BT81))</f>
        <v>#VALUE!</v>
      </c>
      <c r="BU82" s="1" t="e">
        <f t="shared" si="86"/>
        <v>#VALUE!</v>
      </c>
      <c r="BV82" s="8" t="str">
        <f t="shared" si="87"/>
        <v/>
      </c>
      <c r="BX82" s="71" t="e">
        <f t="shared" si="88"/>
        <v>#VALUE!</v>
      </c>
      <c r="BY82" s="71" t="str">
        <f>IF(OR(COUNTBLANK(CB82)=1,ISERROR(CB82)),"",COUNT($CB$4:CB82))</f>
        <v/>
      </c>
      <c r="BZ82" s="7" t="e">
        <f t="shared" si="89"/>
        <v>#VALUE!</v>
      </c>
      <c r="CA82" s="1" t="str">
        <f t="shared" si="90"/>
        <v/>
      </c>
      <c r="CB82" s="79" t="e">
        <f>IF(IF(COUNTIF($CB$4:CB81,CB80)&gt;=MAX($D$4:$D$8),CB80+2,CB80)&gt;55,"",IF(COUNTIF($CB$4:CB81,CB80)&gt;=MAX($D$4:$D$8),CB80+2,CB80))</f>
        <v>#VALUE!</v>
      </c>
      <c r="CC82" s="1" t="e">
        <f t="shared" si="91"/>
        <v>#VALUE!</v>
      </c>
      <c r="CD82" s="8" t="str">
        <f t="shared" si="92"/>
        <v/>
      </c>
      <c r="CF82" s="71" t="e">
        <f t="shared" ref="CF82:CF145" si="105">IF(CJ82="","",CJ82*10+H82)</f>
        <v>#VALUE!</v>
      </c>
      <c r="CG82" s="71" t="str">
        <f>IF(OR(COUNTBLANK(CJ82)=1,ISERROR(CJ82)),"",COUNT($CJ$4:CJ82))</f>
        <v/>
      </c>
      <c r="CH82" s="7" t="e">
        <f t="shared" ref="CH82:CH145" si="106">IF(CJ82&gt;25,"ナビ・","1・2年のWナビ・")</f>
        <v>#VALUE!</v>
      </c>
      <c r="CI82" s="1" t="str">
        <f t="shared" ref="CI82:CI145" si="107">IF(ISERROR(INDEX($C$4:$C$8,MATCH(H82,$D$4:$D$8,0))),"",INDEX($C$4:$C$8,MATCH(H82,$D$4:$D$8,0)))</f>
        <v/>
      </c>
      <c r="CJ82" s="79" t="e">
        <f>IF(IF(COUNTIF($CJ$4:CJ81,CJ79)&gt;=MAX($D$4:$D$8),CJ79+3,CJ79)&gt;55,"",IF(COUNTIF($CJ$4:CJ81,CJ79)&gt;=MAX($D$4:$D$8),CJ79+3,CJ79))</f>
        <v>#VALUE!</v>
      </c>
      <c r="CK82" s="1" t="e">
        <f t="shared" si="93"/>
        <v>#VALUE!</v>
      </c>
      <c r="CL82" s="8" t="str">
        <f t="shared" ref="CL82:CL145" si="108">IF(ISERROR(IF(COUNTIF(CI82:CK82,"")&gt;=1,"",CH82&amp;CI82&amp;"【"&amp;VLOOKUP(CJ82,$BL$4:$BN$58,2,0)&amp;"】"&amp;CK82)),"",IF(COUNTIF(CI82:CK82,"")&gt;=1,"",CH82&amp;CI82&amp;"【"&amp;VLOOKUP(CJ82,$BL$4:$BN$58,2,0)&amp;"】"&amp;CK82))</f>
        <v/>
      </c>
      <c r="CN82" s="71" t="e">
        <f t="shared" si="99"/>
        <v>#VALUE!</v>
      </c>
      <c r="CO82" s="71" t="str">
        <f>IF(OR(COUNTBLANK(CR82)=1,ISERROR(CR82)),"",COUNT($CR$4:CR82))</f>
        <v/>
      </c>
      <c r="CP82" s="7" t="e">
        <f t="shared" si="100"/>
        <v>#VALUE!</v>
      </c>
      <c r="CQ82" s="1" t="str">
        <f t="shared" si="101"/>
        <v/>
      </c>
      <c r="CR82" s="79" t="e">
        <f>IF(IF(COUNTIF($CR$4:CR81,CR78)&gt;=MAX($D$4:$D$8),CR78+4,CR78)&gt;55,"",IF(COUNTIF($CR$4:CR81,CR78)&gt;=MAX($D$4:$D$8),CR78+4,CR78))</f>
        <v>#VALUE!</v>
      </c>
      <c r="CS82" s="1" t="e">
        <f t="shared" si="94"/>
        <v>#VALUE!</v>
      </c>
      <c r="CT82" s="8" t="str">
        <f t="shared" si="102"/>
        <v/>
      </c>
      <c r="CV82" s="71" t="e">
        <f t="shared" si="65"/>
        <v>#VALUE!</v>
      </c>
      <c r="CW82" s="71" t="str">
        <f>IF(OR(COUNTBLANK(CZ82)=1,ISERROR(CZ82)),"",COUNT($CZ$4:CZ82))</f>
        <v/>
      </c>
      <c r="CX82" s="7" t="e">
        <f t="shared" si="66"/>
        <v>#VALUE!</v>
      </c>
      <c r="CY82" s="1" t="str">
        <f t="shared" si="67"/>
        <v/>
      </c>
      <c r="CZ82" s="79" t="e">
        <f>IF(IF(COUNTIF($CZ$4:CZ81,CZ77)&gt;=MAX($D$4:$D$8),CZ77+5,CZ77)&gt;55,"",IF(COUNTIF($CZ$4:CZ81,CZ77)&gt;=MAX($D$4:$D$8),CZ77+5,CZ77))</f>
        <v>#VALUE!</v>
      </c>
      <c r="DA82" s="1" t="e">
        <f t="shared" si="95"/>
        <v>#VALUE!</v>
      </c>
      <c r="DB82" s="8" t="str">
        <f t="shared" si="68"/>
        <v/>
      </c>
    </row>
    <row r="83" spans="5:106" x14ac:dyDescent="0.15">
      <c r="E83" s="1">
        <v>80</v>
      </c>
      <c r="F83" s="1">
        <f t="shared" si="96"/>
        <v>1</v>
      </c>
      <c r="G83" s="1">
        <f t="shared" si="103"/>
        <v>1</v>
      </c>
      <c r="H83" s="1">
        <f t="shared" si="97"/>
        <v>1</v>
      </c>
      <c r="I83" s="1">
        <f t="shared" si="98"/>
        <v>1</v>
      </c>
      <c r="J83" s="1">
        <f t="shared" si="104"/>
        <v>1</v>
      </c>
      <c r="L83" s="1" t="str">
        <f>IF(ISERROR(HLOOKUP($C$10,$F$3:$J$253,81,0)),"",HLOOKUP($C$10,$F$3:$J$253,81,0))</f>
        <v/>
      </c>
      <c r="W83" s="71" t="e">
        <f>IF(AA83="","",AA83*10+5)</f>
        <v>#VALUE!</v>
      </c>
      <c r="X83" s="71" t="str">
        <f>IF(OR(COUNTBLANK(AA83)=1,ISERROR(AA83)),"",COUNT(AA4:AA83))</f>
        <v/>
      </c>
      <c r="Y83" s="7" t="e">
        <f t="shared" si="69"/>
        <v>#VALUE!</v>
      </c>
      <c r="Z83" s="1" t="str">
        <f t="shared" si="83"/>
        <v/>
      </c>
      <c r="AA83" s="79" t="e">
        <f>IF(IF(COUNTIF(AA4:AA82,AA82)&gt;=MAX(D4:D8),AA82+1,AA82)&gt;50,"",IF(COUNTIF(AA4:AA82,AA82)&gt;=MAX(D4:D8),AA82+1,AA82))</f>
        <v>#VALUE!</v>
      </c>
      <c r="AB83" s="1" t="e">
        <f>IF(AA83="","",VLOOKUP(AA83,S4:U53,3,0))</f>
        <v>#VALUE!</v>
      </c>
      <c r="AC83" s="8" t="str">
        <f t="shared" si="70"/>
        <v/>
      </c>
      <c r="AE83" s="71" t="e">
        <f t="shared" si="71"/>
        <v>#VALUE!</v>
      </c>
      <c r="AF83" s="71" t="str">
        <f>IF(OR(COUNTBLANK(AI83)=1,ISERROR(AI83)),"",COUNT(AI4:AI83))</f>
        <v/>
      </c>
      <c r="AG83" s="7" t="e">
        <f t="shared" si="72"/>
        <v>#VALUE!</v>
      </c>
      <c r="AH83" s="1" t="str">
        <f>IF(ISERROR(INDEX(C4:C8,MATCH(G83,D4:D8,0))),"",INDEX(C4:C8,MATCH(G83,D4:D8,0)))</f>
        <v/>
      </c>
      <c r="AI83" s="79" t="e">
        <f>IF(IF(COUNTIF(AI4:AI81,AI81)&gt;=MAX(D4:D8),AI81+2,AI81)&gt;50,"",IF(COUNTIF(AI4:AI81,AI81)&gt;=MAX(D4:D8),AI81+2,AI81))</f>
        <v>#VALUE!</v>
      </c>
      <c r="AJ83" s="1" t="e">
        <f>IF(AI83="","",VLOOKUP(AI83,S4:U53,3,0))</f>
        <v>#VALUE!</v>
      </c>
      <c r="AK83" s="8" t="str">
        <f t="shared" si="73"/>
        <v/>
      </c>
      <c r="AM83" s="71" t="e">
        <f t="shared" si="74"/>
        <v>#VALUE!</v>
      </c>
      <c r="AN83" s="71" t="str">
        <f>IF(OR(COUNTBLANK(AQ83)=1,ISERROR(AQ83)),"",COUNT(AQ4:AQ83))</f>
        <v/>
      </c>
      <c r="AO83" s="7" t="e">
        <f t="shared" si="75"/>
        <v>#VALUE!</v>
      </c>
      <c r="AP83" s="1" t="str">
        <f>IF(ISERROR(INDEX(C4:C8,MATCH(H83,D4:D8,0))),"",INDEX(C4:C8,MATCH(H83,D4:D8,0)))</f>
        <v/>
      </c>
      <c r="AQ83" s="79" t="e">
        <f>IF(IF(COUNTIF(AQ4:AQ82,AQ80)&gt;=MAX(D4:D8),AQ80+3,AQ80)&gt;50,"",IF(COUNTIF(AQ4:AQ82,AQ80)&gt;=MAX(D4:D8),AQ80+3,AQ80))</f>
        <v>#VALUE!</v>
      </c>
      <c r="AR83" s="1" t="e">
        <f>IF(AQ83="","",VLOOKUP(AQ83,S4:U53,3,0))</f>
        <v>#VALUE!</v>
      </c>
      <c r="AS83" s="8" t="str">
        <f t="shared" si="76"/>
        <v/>
      </c>
      <c r="AU83" s="71" t="e">
        <f t="shared" si="77"/>
        <v>#VALUE!</v>
      </c>
      <c r="AV83" s="71" t="str">
        <f>IF(OR(COUNTBLANK(AY83)=1,ISERROR(AY83)),"",COUNT(AY4:AY83))</f>
        <v/>
      </c>
      <c r="AW83" s="7" t="e">
        <f t="shared" si="78"/>
        <v>#VALUE!</v>
      </c>
      <c r="AX83" s="1" t="str">
        <f>IF(ISERROR(INDEX(C4:C8,MATCH(I83,D4:D8,0))),"",INDEX(C4:C8,MATCH(I83,D4:D8,0)))</f>
        <v/>
      </c>
      <c r="AY83" s="79" t="e">
        <f>IF(IF(COUNTIF(AY4:AY82,AY79)&gt;=MAX(D4:D8),AY79+4,AY79)&gt;50,"",IF(COUNTIF(AY4:AY82,AY79)&gt;=MAX(D4:D8),AY79+4,AY79))</f>
        <v>#VALUE!</v>
      </c>
      <c r="AZ83" s="76" t="e">
        <f>IF(AY83="","",VLOOKUP(AY83,S4:U53,3,0))</f>
        <v>#VALUE!</v>
      </c>
      <c r="BA83" s="8" t="str">
        <f t="shared" si="79"/>
        <v/>
      </c>
      <c r="BC83" s="71" t="e">
        <f t="shared" si="80"/>
        <v>#VALUE!</v>
      </c>
      <c r="BD83" s="71" t="str">
        <f>IF(OR(COUNTBLANK(BG83)=1,ISERROR(BG83)),"",COUNT(BG4:BG83))</f>
        <v/>
      </c>
      <c r="BE83" s="7" t="e">
        <f t="shared" si="81"/>
        <v>#VALUE!</v>
      </c>
      <c r="BF83" s="1" t="str">
        <f>IF(ISERROR(INDEX(C4:C8,MATCH(J83,D4:D8,0))),"",INDEX(C4:C8,MATCH(J83,D4:D8,0)))</f>
        <v/>
      </c>
      <c r="BG83" s="79" t="e">
        <f>IF(IF(COUNTIF(BG4:BG82,BG78)&gt;=MAX(D4:D8),BG78+5,BG78)&gt;50,"",IF(COUNTIF(BG4:BG82,BG78)&gt;=MAX(D4:D8),BG78+5,BG78))</f>
        <v>#VALUE!</v>
      </c>
      <c r="BH83" s="76" t="e">
        <f>IF(BG83="","",VLOOKUP(BG83,S4:U53,3,0))</f>
        <v>#VALUE!</v>
      </c>
      <c r="BI83" s="8" t="str">
        <f t="shared" si="82"/>
        <v/>
      </c>
      <c r="BP83" s="71" t="e">
        <f>IF(BT83="","",BT83*10+5)</f>
        <v>#VALUE!</v>
      </c>
      <c r="BQ83" s="71" t="str">
        <f>IF(OR(COUNTBLANK(BT83)=1,ISERROR(BT83)),"",COUNT(BT4:BT83))</f>
        <v/>
      </c>
      <c r="BR83" s="7" t="e">
        <f t="shared" si="84"/>
        <v>#VALUE!</v>
      </c>
      <c r="BS83" s="1" t="str">
        <f t="shared" si="85"/>
        <v/>
      </c>
      <c r="BT83" s="79" t="e">
        <f>IF(IF(COUNTIF($BT$4:BT82,BT82)&gt;=MAX($D$4:$D$8),BT82+1,BT82)&gt;55,"",IF(COUNTIF($BT$4:BT82,BT82)&gt;=MAX($D$4:$D$8),BT82+1,BT82))</f>
        <v>#VALUE!</v>
      </c>
      <c r="BU83" s="1" t="e">
        <f t="shared" si="86"/>
        <v>#VALUE!</v>
      </c>
      <c r="BV83" s="8" t="str">
        <f t="shared" si="87"/>
        <v/>
      </c>
      <c r="BX83" s="71" t="e">
        <f t="shared" si="88"/>
        <v>#VALUE!</v>
      </c>
      <c r="BY83" s="71" t="str">
        <f>IF(OR(COUNTBLANK(CB83)=1,ISERROR(CB83)),"",COUNT($CB$4:CB83))</f>
        <v/>
      </c>
      <c r="BZ83" s="7" t="e">
        <f t="shared" si="89"/>
        <v>#VALUE!</v>
      </c>
      <c r="CA83" s="1" t="str">
        <f t="shared" si="90"/>
        <v/>
      </c>
      <c r="CB83" s="79" t="e">
        <f>IF(IF(COUNTIF($CB$4:CB82,CB81)&gt;=MAX($D$4:$D$8),CB81+2,CB81)&gt;55,"",IF(COUNTIF($CB$4:CB82,CB81)&gt;=MAX($D$4:$D$8),CB81+2,CB81))</f>
        <v>#VALUE!</v>
      </c>
      <c r="CC83" s="1" t="e">
        <f t="shared" si="91"/>
        <v>#VALUE!</v>
      </c>
      <c r="CD83" s="8" t="str">
        <f t="shared" si="92"/>
        <v/>
      </c>
      <c r="CF83" s="71" t="e">
        <f t="shared" si="105"/>
        <v>#VALUE!</v>
      </c>
      <c r="CG83" s="71" t="str">
        <f>IF(OR(COUNTBLANK(CJ83)=1,ISERROR(CJ83)),"",COUNT($CJ$4:CJ83))</f>
        <v/>
      </c>
      <c r="CH83" s="7" t="e">
        <f t="shared" si="106"/>
        <v>#VALUE!</v>
      </c>
      <c r="CI83" s="1" t="str">
        <f t="shared" si="107"/>
        <v/>
      </c>
      <c r="CJ83" s="79" t="e">
        <f>IF(IF(COUNTIF($CJ$4:CJ82,CJ80)&gt;=MAX($D$4:$D$8),CJ80+3,CJ80)&gt;55,"",IF(COUNTIF($CJ$4:CJ82,CJ80)&gt;=MAX($D$4:$D$8),CJ80+3,CJ80))</f>
        <v>#VALUE!</v>
      </c>
      <c r="CK83" s="1" t="e">
        <f t="shared" si="93"/>
        <v>#VALUE!</v>
      </c>
      <c r="CL83" s="8" t="str">
        <f t="shared" si="108"/>
        <v/>
      </c>
      <c r="CN83" s="71" t="e">
        <f t="shared" si="99"/>
        <v>#VALUE!</v>
      </c>
      <c r="CO83" s="71" t="str">
        <f>IF(OR(COUNTBLANK(CR83)=1,ISERROR(CR83)),"",COUNT($CR$4:CR83))</f>
        <v/>
      </c>
      <c r="CP83" s="7" t="e">
        <f t="shared" si="100"/>
        <v>#VALUE!</v>
      </c>
      <c r="CQ83" s="1" t="str">
        <f t="shared" si="101"/>
        <v/>
      </c>
      <c r="CR83" s="79" t="e">
        <f>IF(IF(COUNTIF($CR$4:CR82,CR79)&gt;=MAX($D$4:$D$8),CR79+4,CR79)&gt;55,"",IF(COUNTIF($CR$4:CR82,CR79)&gt;=MAX($D$4:$D$8),CR79+4,CR79))</f>
        <v>#VALUE!</v>
      </c>
      <c r="CS83" s="1" t="e">
        <f t="shared" si="94"/>
        <v>#VALUE!</v>
      </c>
      <c r="CT83" s="8" t="str">
        <f t="shared" si="102"/>
        <v/>
      </c>
      <c r="CV83" s="71" t="e">
        <f t="shared" si="65"/>
        <v>#VALUE!</v>
      </c>
      <c r="CW83" s="71" t="str">
        <f>IF(OR(COUNTBLANK(CZ83)=1,ISERROR(CZ83)),"",COUNT($CZ$4:CZ83))</f>
        <v/>
      </c>
      <c r="CX83" s="7" t="e">
        <f t="shared" si="66"/>
        <v>#VALUE!</v>
      </c>
      <c r="CY83" s="1" t="str">
        <f t="shared" si="67"/>
        <v/>
      </c>
      <c r="CZ83" s="79" t="e">
        <f>IF(IF(COUNTIF($CZ$4:CZ82,CZ78)&gt;=MAX($D$4:$D$8),CZ78+5,CZ78)&gt;55,"",IF(COUNTIF($CZ$4:CZ82,CZ78)&gt;=MAX($D$4:$D$8),CZ78+5,CZ78))</f>
        <v>#VALUE!</v>
      </c>
      <c r="DA83" s="1" t="e">
        <f t="shared" si="95"/>
        <v>#VALUE!</v>
      </c>
      <c r="DB83" s="8" t="str">
        <f t="shared" si="68"/>
        <v/>
      </c>
    </row>
    <row r="84" spans="5:106" x14ac:dyDescent="0.15">
      <c r="E84" s="1">
        <v>81</v>
      </c>
      <c r="F84" s="1">
        <f t="shared" si="96"/>
        <v>1</v>
      </c>
      <c r="G84" s="1">
        <f t="shared" si="103"/>
        <v>1</v>
      </c>
      <c r="H84" s="1">
        <f t="shared" si="97"/>
        <v>1</v>
      </c>
      <c r="I84" s="1">
        <f t="shared" si="98"/>
        <v>1</v>
      </c>
      <c r="J84" s="1">
        <f t="shared" si="104"/>
        <v>1</v>
      </c>
      <c r="L84" s="1" t="str">
        <f>IF(ISERROR(HLOOKUP($C$10,$F$3:$J$253,82,0)),"",HLOOKUP($C$10,$F$3:$J$253,82,0))</f>
        <v/>
      </c>
      <c r="W84" s="71" t="e">
        <f>IF(AA84="","",AA84*10+1)</f>
        <v>#VALUE!</v>
      </c>
      <c r="X84" s="71" t="str">
        <f>IF(OR(COUNTBLANK(AA84)=1,ISERROR(AA84)),"",COUNT(AA4:AA84))</f>
        <v/>
      </c>
      <c r="Y84" s="7" t="e">
        <f t="shared" si="69"/>
        <v>#VALUE!</v>
      </c>
      <c r="Z84" s="1" t="str">
        <f t="shared" si="83"/>
        <v/>
      </c>
      <c r="AA84" s="79" t="e">
        <f>IF(IF(COUNTIF(AA4:AA83,AA83)&gt;=MAX(D4:D8),AA83+1,AA83)&gt;50,"",IF(COUNTIF(AA4:AA83,AA83)&gt;=MAX(D4:D8),AA83+1,AA83))</f>
        <v>#VALUE!</v>
      </c>
      <c r="AB84" s="1" t="e">
        <f>IF(AA84="","",VLOOKUP(AA84,S4:U53,3,0))</f>
        <v>#VALUE!</v>
      </c>
      <c r="AC84" s="8" t="str">
        <f t="shared" si="70"/>
        <v/>
      </c>
      <c r="AE84" s="71" t="e">
        <f t="shared" si="71"/>
        <v>#VALUE!</v>
      </c>
      <c r="AF84" s="71" t="str">
        <f>IF(OR(COUNTBLANK(AI84)=1,ISERROR(AI84)),"",COUNT(AI4:AI84))</f>
        <v/>
      </c>
      <c r="AG84" s="7" t="e">
        <f t="shared" si="72"/>
        <v>#VALUE!</v>
      </c>
      <c r="AH84" s="1" t="str">
        <f>IF(ISERROR(INDEX(C4:C8,MATCH(G84,D4:D8,0))),"",INDEX(C4:C8,MATCH(G84,D4:D8,0)))</f>
        <v/>
      </c>
      <c r="AI84" s="79" t="e">
        <f>IF(IF(COUNTIF(AI4:AI83,AI82)&gt;=MAX(D4:D8),AI82+2,AI82)&gt;50,"",IF(COUNTIF(AI4:AI83,AI82)&gt;=MAX(D4:D8),AI82+2,AI82))</f>
        <v>#VALUE!</v>
      </c>
      <c r="AJ84" s="1" t="e">
        <f>IF(AI84="","",VLOOKUP(AI84,S4:U53,3,0))</f>
        <v>#VALUE!</v>
      </c>
      <c r="AK84" s="8" t="str">
        <f t="shared" si="73"/>
        <v/>
      </c>
      <c r="AM84" s="71" t="e">
        <f t="shared" si="74"/>
        <v>#VALUE!</v>
      </c>
      <c r="AN84" s="71" t="str">
        <f>IF(OR(COUNTBLANK(AQ84)=1,ISERROR(AQ84)),"",COUNT(AQ4:AQ84))</f>
        <v/>
      </c>
      <c r="AO84" s="7" t="e">
        <f t="shared" si="75"/>
        <v>#VALUE!</v>
      </c>
      <c r="AP84" s="1" t="str">
        <f>IF(ISERROR(INDEX(C4:C8,MATCH(H84,D4:D8,0))),"",INDEX(C4:C8,MATCH(H84,D4:D8,0)))</f>
        <v/>
      </c>
      <c r="AQ84" s="79" t="e">
        <f>IF(IF(COUNTIF(AQ4:AQ83,AQ81)&gt;=MAX(D4:D8),AQ81+3,AQ81)&gt;50,"",IF(COUNTIF(AQ4:AQ83,AQ81)&gt;=MAX(D4:D8),AQ81+3,AQ81))</f>
        <v>#VALUE!</v>
      </c>
      <c r="AR84" s="1" t="e">
        <f>IF(AQ84="","",VLOOKUP(AQ84,S4:U53,3,0))</f>
        <v>#VALUE!</v>
      </c>
      <c r="AS84" s="8" t="str">
        <f t="shared" si="76"/>
        <v/>
      </c>
      <c r="AU84" s="71" t="e">
        <f t="shared" si="77"/>
        <v>#VALUE!</v>
      </c>
      <c r="AV84" s="71" t="str">
        <f>IF(OR(COUNTBLANK(AY84)=1,ISERROR(AY84)),"",COUNT(AY4:AY84))</f>
        <v/>
      </c>
      <c r="AW84" s="7" t="e">
        <f t="shared" si="78"/>
        <v>#VALUE!</v>
      </c>
      <c r="AX84" s="1" t="str">
        <f>IF(ISERROR(INDEX(C4:C8,MATCH(I84,D4:D8,0))),"",INDEX(C4:C8,MATCH(I84,D4:D8,0)))</f>
        <v/>
      </c>
      <c r="AY84" s="79" t="e">
        <f>IF(IF(COUNTIF(AY4:AY83,AY80)&gt;=MAX(D4:D8),AY80+4,AY80)&gt;50,"",IF(COUNTIF(AY4:AY83,AY80)&gt;=MAX(D4:D8),AY80+4,AY80))</f>
        <v>#VALUE!</v>
      </c>
      <c r="AZ84" s="76" t="e">
        <f>IF(AY84="","",VLOOKUP(AY84,S4:U53,3,0))</f>
        <v>#VALUE!</v>
      </c>
      <c r="BA84" s="8" t="str">
        <f t="shared" si="79"/>
        <v/>
      </c>
      <c r="BC84" s="71" t="e">
        <f t="shared" si="80"/>
        <v>#VALUE!</v>
      </c>
      <c r="BD84" s="71" t="str">
        <f>IF(OR(COUNTBLANK(BG84)=1,ISERROR(BG84)),"",COUNT(BG4:BG84))</f>
        <v/>
      </c>
      <c r="BE84" s="7" t="e">
        <f t="shared" si="81"/>
        <v>#VALUE!</v>
      </c>
      <c r="BF84" s="1" t="str">
        <f>IF(ISERROR(INDEX(C4:C8,MATCH(J84,D4:D8,0))),"",INDEX(C4:C8,MATCH(J84,D4:D8,0)))</f>
        <v/>
      </c>
      <c r="BG84" s="79" t="e">
        <f>IF(IF(COUNTIF(BG4:BG83,BG79)&gt;=MAX(D4:D8),BG79+5,BG79)&gt;50,"",IF(COUNTIF(BG4:BG83,BG79)&gt;=MAX(D4:D8),BG79+5,BG79))</f>
        <v>#VALUE!</v>
      </c>
      <c r="BH84" s="76" t="e">
        <f>IF(BG84="","",VLOOKUP(BG84,S4:U53,3,0))</f>
        <v>#VALUE!</v>
      </c>
      <c r="BI84" s="8" t="str">
        <f t="shared" si="82"/>
        <v/>
      </c>
      <c r="BP84" s="71" t="e">
        <f>IF(BT84="","",BT84*10+1)</f>
        <v>#VALUE!</v>
      </c>
      <c r="BQ84" s="71" t="str">
        <f>IF(OR(COUNTBLANK(BT84)=1,ISERROR(BT84)),"",COUNT(BT4:BT84))</f>
        <v/>
      </c>
      <c r="BR84" s="7" t="e">
        <f t="shared" si="84"/>
        <v>#VALUE!</v>
      </c>
      <c r="BS84" s="1" t="str">
        <f t="shared" si="85"/>
        <v/>
      </c>
      <c r="BT84" s="79" t="e">
        <f>IF(IF(COUNTIF($BT$4:BT83,BT83)&gt;=MAX($D$4:$D$8),BT83+1,BT83)&gt;55,"",IF(COUNTIF($BT$4:BT83,BT83)&gt;=MAX($D$4:$D$8),BT83+1,BT83))</f>
        <v>#VALUE!</v>
      </c>
      <c r="BU84" s="1" t="e">
        <f t="shared" si="86"/>
        <v>#VALUE!</v>
      </c>
      <c r="BV84" s="8" t="str">
        <f t="shared" si="87"/>
        <v/>
      </c>
      <c r="BX84" s="71" t="e">
        <f t="shared" si="88"/>
        <v>#VALUE!</v>
      </c>
      <c r="BY84" s="71" t="str">
        <f>IF(OR(COUNTBLANK(CB84)=1,ISERROR(CB84)),"",COUNT($CB$4:CB84))</f>
        <v/>
      </c>
      <c r="BZ84" s="7" t="e">
        <f t="shared" si="89"/>
        <v>#VALUE!</v>
      </c>
      <c r="CA84" s="1" t="str">
        <f t="shared" si="90"/>
        <v/>
      </c>
      <c r="CB84" s="79" t="e">
        <f>IF(IF(COUNTIF($CB$4:CB83,CB82)&gt;=MAX($D$4:$D$8),CB82+2,CB82)&gt;55,"",IF(COUNTIF($CB$4:CB83,CB82)&gt;=MAX($D$4:$D$8),CB82+2,CB82))</f>
        <v>#VALUE!</v>
      </c>
      <c r="CC84" s="1" t="e">
        <f t="shared" si="91"/>
        <v>#VALUE!</v>
      </c>
      <c r="CD84" s="8" t="str">
        <f t="shared" si="92"/>
        <v/>
      </c>
      <c r="CF84" s="71" t="e">
        <f t="shared" si="105"/>
        <v>#VALUE!</v>
      </c>
      <c r="CG84" s="71" t="str">
        <f>IF(OR(COUNTBLANK(CJ84)=1,ISERROR(CJ84)),"",COUNT($CJ$4:CJ84))</f>
        <v/>
      </c>
      <c r="CH84" s="7" t="e">
        <f t="shared" si="106"/>
        <v>#VALUE!</v>
      </c>
      <c r="CI84" s="1" t="str">
        <f t="shared" si="107"/>
        <v/>
      </c>
      <c r="CJ84" s="79" t="e">
        <f>IF(IF(COUNTIF($CJ$4:CJ83,CJ81)&gt;=MAX($D$4:$D$8),CJ81+3,CJ81)&gt;55,"",IF(COUNTIF($CJ$4:CJ83,CJ81)&gt;=MAX($D$4:$D$8),CJ81+3,CJ81))</f>
        <v>#VALUE!</v>
      </c>
      <c r="CK84" s="1" t="e">
        <f t="shared" si="93"/>
        <v>#VALUE!</v>
      </c>
      <c r="CL84" s="8" t="str">
        <f t="shared" si="108"/>
        <v/>
      </c>
      <c r="CN84" s="71" t="e">
        <f t="shared" si="99"/>
        <v>#VALUE!</v>
      </c>
      <c r="CO84" s="71" t="str">
        <f>IF(OR(COUNTBLANK(CR84)=1,ISERROR(CR84)),"",COUNT($CR$4:CR84))</f>
        <v/>
      </c>
      <c r="CP84" s="7" t="e">
        <f t="shared" si="100"/>
        <v>#VALUE!</v>
      </c>
      <c r="CQ84" s="1" t="str">
        <f t="shared" si="101"/>
        <v/>
      </c>
      <c r="CR84" s="79" t="e">
        <f>IF(IF(COUNTIF($CR$4:CR83,CR80)&gt;=MAX($D$4:$D$8),CR80+4,CR80)&gt;55,"",IF(COUNTIF($CR$4:CR83,CR80)&gt;=MAX($D$4:$D$8),CR80+4,CR80))</f>
        <v>#VALUE!</v>
      </c>
      <c r="CS84" s="1" t="e">
        <f t="shared" si="94"/>
        <v>#VALUE!</v>
      </c>
      <c r="CT84" s="8" t="str">
        <f t="shared" si="102"/>
        <v/>
      </c>
      <c r="CV84" s="71" t="e">
        <f t="shared" si="65"/>
        <v>#VALUE!</v>
      </c>
      <c r="CW84" s="71" t="str">
        <f>IF(OR(COUNTBLANK(CZ84)=1,ISERROR(CZ84)),"",COUNT($CZ$4:CZ84))</f>
        <v/>
      </c>
      <c r="CX84" s="7" t="e">
        <f t="shared" si="66"/>
        <v>#VALUE!</v>
      </c>
      <c r="CY84" s="1" t="str">
        <f t="shared" si="67"/>
        <v/>
      </c>
      <c r="CZ84" s="79" t="e">
        <f>IF(IF(COUNTIF($CZ$4:CZ83,CZ79)&gt;=MAX($D$4:$D$8),CZ79+5,CZ79)&gt;55,"",IF(COUNTIF($CZ$4:CZ83,CZ79)&gt;=MAX($D$4:$D$8),CZ79+5,CZ79))</f>
        <v>#VALUE!</v>
      </c>
      <c r="DA84" s="1" t="e">
        <f t="shared" si="95"/>
        <v>#VALUE!</v>
      </c>
      <c r="DB84" s="8" t="str">
        <f t="shared" si="68"/>
        <v/>
      </c>
    </row>
    <row r="85" spans="5:106" x14ac:dyDescent="0.15">
      <c r="E85" s="1">
        <v>82</v>
      </c>
      <c r="F85" s="1">
        <f t="shared" si="96"/>
        <v>1</v>
      </c>
      <c r="G85" s="1">
        <f t="shared" si="103"/>
        <v>1</v>
      </c>
      <c r="H85" s="1">
        <f t="shared" si="97"/>
        <v>1</v>
      </c>
      <c r="I85" s="1">
        <f t="shared" si="98"/>
        <v>1</v>
      </c>
      <c r="J85" s="1">
        <f t="shared" si="104"/>
        <v>1</v>
      </c>
      <c r="L85" s="1" t="str">
        <f>IF(ISERROR(HLOOKUP($C$10,$F$3:$J$253,83,0)),"",HLOOKUP($C$10,$F$3:$J$253,83,0))</f>
        <v/>
      </c>
      <c r="W85" s="71" t="e">
        <f>IF(AA85="","",AA85*10+2)</f>
        <v>#VALUE!</v>
      </c>
      <c r="X85" s="71" t="str">
        <f>IF(OR(COUNTBLANK(AA85)=1,ISERROR(AA85)),"",COUNT(AA4:AA85))</f>
        <v/>
      </c>
      <c r="Y85" s="7" t="e">
        <f t="shared" si="69"/>
        <v>#VALUE!</v>
      </c>
      <c r="Z85" s="1" t="str">
        <f t="shared" si="83"/>
        <v/>
      </c>
      <c r="AA85" s="79" t="e">
        <f>IF(IF(COUNTIF(AA4:AA84,AA84)&gt;=MAX(D4:D8),AA84+1,AA84)&gt;50,"",IF(COUNTIF(AA4:AA84,AA84)&gt;=MAX(D4:D8),AA84+1,AA84))</f>
        <v>#VALUE!</v>
      </c>
      <c r="AB85" s="1" t="e">
        <f>IF(AA85="","",VLOOKUP(AA85,S4:U53,3,0))</f>
        <v>#VALUE!</v>
      </c>
      <c r="AC85" s="8" t="str">
        <f t="shared" si="70"/>
        <v/>
      </c>
      <c r="AE85" s="71" t="e">
        <f t="shared" si="71"/>
        <v>#VALUE!</v>
      </c>
      <c r="AF85" s="71" t="str">
        <f>IF(OR(COUNTBLANK(AI85)=1,ISERROR(AI85)),"",COUNT(AI4:AI85))</f>
        <v/>
      </c>
      <c r="AG85" s="7" t="e">
        <f t="shared" si="72"/>
        <v>#VALUE!</v>
      </c>
      <c r="AH85" s="1" t="str">
        <f>IF(ISERROR(INDEX(C4:C8,MATCH(G85,D4:D8,0))),"",INDEX(C4:C8,MATCH(G85,D4:D8,0)))</f>
        <v/>
      </c>
      <c r="AI85" s="79" t="e">
        <f>IF(IF(COUNTIF(AI4:AI83,AI83)&gt;=MAX(D4:D8),AI83+2,AI83)&gt;50,"",IF(COUNTIF(AI4:AI83,AI83)&gt;=MAX(D4:D8),AI83+2,AI83))</f>
        <v>#VALUE!</v>
      </c>
      <c r="AJ85" s="1" t="e">
        <f>IF(AI85="","",VLOOKUP(AI85,S4:U53,3,0))</f>
        <v>#VALUE!</v>
      </c>
      <c r="AK85" s="8" t="str">
        <f t="shared" si="73"/>
        <v/>
      </c>
      <c r="AM85" s="71" t="e">
        <f t="shared" si="74"/>
        <v>#VALUE!</v>
      </c>
      <c r="AN85" s="71" t="str">
        <f>IF(OR(COUNTBLANK(AQ85)=1,ISERROR(AQ85)),"",COUNT(AQ4:AQ85))</f>
        <v/>
      </c>
      <c r="AO85" s="7" t="e">
        <f t="shared" si="75"/>
        <v>#VALUE!</v>
      </c>
      <c r="AP85" s="1" t="str">
        <f>IF(ISERROR(INDEX(C4:C8,MATCH(H85,D4:D8,0))),"",INDEX(C4:C8,MATCH(H85,D4:D8,0)))</f>
        <v/>
      </c>
      <c r="AQ85" s="79" t="e">
        <f>IF(IF(COUNTIF(AQ4:AQ84,AQ82)&gt;=MAX(D4:D8),AQ82+3,AQ82)&gt;50,"",IF(COUNTIF(AQ4:AQ84,AQ82)&gt;=MAX(D4:D8),AQ82+3,AQ82))</f>
        <v>#VALUE!</v>
      </c>
      <c r="AR85" s="1" t="e">
        <f>IF(AQ85="","",VLOOKUP(AQ85,S4:U53,3,0))</f>
        <v>#VALUE!</v>
      </c>
      <c r="AS85" s="8" t="str">
        <f t="shared" si="76"/>
        <v/>
      </c>
      <c r="AU85" s="71" t="e">
        <f t="shared" si="77"/>
        <v>#VALUE!</v>
      </c>
      <c r="AV85" s="71" t="str">
        <f>IF(OR(COUNTBLANK(AY85)=1,ISERROR(AY85)),"",COUNT(AY4:AY85))</f>
        <v/>
      </c>
      <c r="AW85" s="7" t="e">
        <f t="shared" si="78"/>
        <v>#VALUE!</v>
      </c>
      <c r="AX85" s="1" t="str">
        <f>IF(ISERROR(INDEX(C4:C8,MATCH(I85,D4:D8,0))),"",INDEX(C4:C8,MATCH(I85,D4:D8,0)))</f>
        <v/>
      </c>
      <c r="AY85" s="79" t="e">
        <f>IF(IF(COUNTIF(AY4:AY84,AY81)&gt;=MAX(D4:D8),AY81+4,AY81)&gt;50,"",IF(COUNTIF(AY4:AY84,AY81)&gt;=MAX(D4:D8),AY81+4,AY81))</f>
        <v>#VALUE!</v>
      </c>
      <c r="AZ85" s="76" t="e">
        <f>IF(AY85="","",VLOOKUP(AY85,S4:U53,3,0))</f>
        <v>#VALUE!</v>
      </c>
      <c r="BA85" s="8" t="str">
        <f t="shared" si="79"/>
        <v/>
      </c>
      <c r="BC85" s="71" t="e">
        <f t="shared" si="80"/>
        <v>#VALUE!</v>
      </c>
      <c r="BD85" s="71" t="str">
        <f>IF(OR(COUNTBLANK(BG85)=1,ISERROR(BG85)),"",COUNT(BG4:BG85))</f>
        <v/>
      </c>
      <c r="BE85" s="7" t="e">
        <f t="shared" si="81"/>
        <v>#VALUE!</v>
      </c>
      <c r="BF85" s="1" t="str">
        <f>IF(ISERROR(INDEX(C4:C8,MATCH(J85,D4:D8,0))),"",INDEX(C4:C8,MATCH(J85,D4:D8,0)))</f>
        <v/>
      </c>
      <c r="BG85" s="79" t="e">
        <f>IF(IF(COUNTIF(BG4:BG84,BG80)&gt;=MAX(D4:D8),BG80+5,BG80)&gt;50,"",IF(COUNTIF(BG4:BG84,BG80)&gt;=MAX(D4:D8),BG80+5,BG80))</f>
        <v>#VALUE!</v>
      </c>
      <c r="BH85" s="76" t="e">
        <f>IF(BG85="","",VLOOKUP(BG85,S4:U53,3,0))</f>
        <v>#VALUE!</v>
      </c>
      <c r="BI85" s="8" t="str">
        <f t="shared" si="82"/>
        <v/>
      </c>
      <c r="BP85" s="71" t="e">
        <f>IF(BT85="","",BT85*10+2)</f>
        <v>#VALUE!</v>
      </c>
      <c r="BQ85" s="71" t="str">
        <f>IF(OR(COUNTBLANK(BT85)=1,ISERROR(BT85)),"",COUNT(BT4:BT85))</f>
        <v/>
      </c>
      <c r="BR85" s="7" t="e">
        <f t="shared" si="84"/>
        <v>#VALUE!</v>
      </c>
      <c r="BS85" s="1" t="str">
        <f t="shared" si="85"/>
        <v/>
      </c>
      <c r="BT85" s="79" t="e">
        <f>IF(IF(COUNTIF($BT$4:BT84,BT84)&gt;=MAX($D$4:$D$8),BT84+1,BT84)&gt;55,"",IF(COUNTIF($BT$4:BT84,BT84)&gt;=MAX($D$4:$D$8),BT84+1,BT84))</f>
        <v>#VALUE!</v>
      </c>
      <c r="BU85" s="1" t="e">
        <f t="shared" si="86"/>
        <v>#VALUE!</v>
      </c>
      <c r="BV85" s="8" t="str">
        <f t="shared" si="87"/>
        <v/>
      </c>
      <c r="BX85" s="71" t="e">
        <f t="shared" si="88"/>
        <v>#VALUE!</v>
      </c>
      <c r="BY85" s="71" t="str">
        <f>IF(OR(COUNTBLANK(CB85)=1,ISERROR(CB85)),"",COUNT($CB$4:CB85))</f>
        <v/>
      </c>
      <c r="BZ85" s="7" t="e">
        <f t="shared" si="89"/>
        <v>#VALUE!</v>
      </c>
      <c r="CA85" s="1" t="str">
        <f t="shared" si="90"/>
        <v/>
      </c>
      <c r="CB85" s="79" t="e">
        <f>IF(IF(COUNTIF($CB$4:CB84,CB83)&gt;=MAX($D$4:$D$8),CB83+2,CB83)&gt;55,"",IF(COUNTIF($CB$4:CB84,CB83)&gt;=MAX($D$4:$D$8),CB83+2,CB83))</f>
        <v>#VALUE!</v>
      </c>
      <c r="CC85" s="1" t="e">
        <f t="shared" si="91"/>
        <v>#VALUE!</v>
      </c>
      <c r="CD85" s="8" t="str">
        <f t="shared" si="92"/>
        <v/>
      </c>
      <c r="CF85" s="71" t="e">
        <f t="shared" si="105"/>
        <v>#VALUE!</v>
      </c>
      <c r="CG85" s="71" t="str">
        <f>IF(OR(COUNTBLANK(CJ85)=1,ISERROR(CJ85)),"",COUNT($CJ$4:CJ85))</f>
        <v/>
      </c>
      <c r="CH85" s="7" t="e">
        <f t="shared" si="106"/>
        <v>#VALUE!</v>
      </c>
      <c r="CI85" s="1" t="str">
        <f t="shared" si="107"/>
        <v/>
      </c>
      <c r="CJ85" s="79" t="e">
        <f>IF(IF(COUNTIF($CJ$4:CJ84,CJ82)&gt;=MAX($D$4:$D$8),CJ82+3,CJ82)&gt;55,"",IF(COUNTIF($CJ$4:CJ84,CJ82)&gt;=MAX($D$4:$D$8),CJ82+3,CJ82))</f>
        <v>#VALUE!</v>
      </c>
      <c r="CK85" s="1" t="e">
        <f t="shared" si="93"/>
        <v>#VALUE!</v>
      </c>
      <c r="CL85" s="8" t="str">
        <f t="shared" si="108"/>
        <v/>
      </c>
      <c r="CN85" s="71" t="e">
        <f t="shared" si="99"/>
        <v>#VALUE!</v>
      </c>
      <c r="CO85" s="71" t="str">
        <f>IF(OR(COUNTBLANK(CR85)=1,ISERROR(CR85)),"",COUNT($CR$4:CR85))</f>
        <v/>
      </c>
      <c r="CP85" s="7" t="e">
        <f t="shared" si="100"/>
        <v>#VALUE!</v>
      </c>
      <c r="CQ85" s="1" t="str">
        <f t="shared" si="101"/>
        <v/>
      </c>
      <c r="CR85" s="79" t="e">
        <f>IF(IF(COUNTIF($CR$4:CR84,CR81)&gt;=MAX($D$4:$D$8),CR81+4,CR81)&gt;55,"",IF(COUNTIF($CR$4:CR84,CR81)&gt;=MAX($D$4:$D$8),CR81+4,CR81))</f>
        <v>#VALUE!</v>
      </c>
      <c r="CS85" s="1" t="e">
        <f t="shared" si="94"/>
        <v>#VALUE!</v>
      </c>
      <c r="CT85" s="8" t="str">
        <f t="shared" si="102"/>
        <v/>
      </c>
      <c r="CV85" s="71" t="e">
        <f t="shared" si="65"/>
        <v>#VALUE!</v>
      </c>
      <c r="CW85" s="71" t="str">
        <f>IF(OR(COUNTBLANK(CZ85)=1,ISERROR(CZ85)),"",COUNT($CZ$4:CZ85))</f>
        <v/>
      </c>
      <c r="CX85" s="7" t="e">
        <f t="shared" si="66"/>
        <v>#VALUE!</v>
      </c>
      <c r="CY85" s="1" t="str">
        <f t="shared" si="67"/>
        <v/>
      </c>
      <c r="CZ85" s="79" t="e">
        <f>IF(IF(COUNTIF($CZ$4:CZ84,CZ80)&gt;=MAX($D$4:$D$8),CZ80+5,CZ80)&gt;55,"",IF(COUNTIF($CZ$4:CZ84,CZ80)&gt;=MAX($D$4:$D$8),CZ80+5,CZ80))</f>
        <v>#VALUE!</v>
      </c>
      <c r="DA85" s="1" t="e">
        <f t="shared" si="95"/>
        <v>#VALUE!</v>
      </c>
      <c r="DB85" s="8" t="str">
        <f t="shared" si="68"/>
        <v/>
      </c>
    </row>
    <row r="86" spans="5:106" x14ac:dyDescent="0.15">
      <c r="E86" s="1">
        <v>83</v>
      </c>
      <c r="F86" s="1">
        <f t="shared" si="96"/>
        <v>1</v>
      </c>
      <c r="G86" s="1">
        <f t="shared" si="103"/>
        <v>1</v>
      </c>
      <c r="H86" s="1">
        <f t="shared" si="97"/>
        <v>1</v>
      </c>
      <c r="I86" s="1">
        <f t="shared" si="98"/>
        <v>1</v>
      </c>
      <c r="J86" s="1">
        <f t="shared" si="104"/>
        <v>1</v>
      </c>
      <c r="L86" s="1" t="str">
        <f>IF(ISERROR(HLOOKUP($C$10,$F$3:$J$253,84,0)),"",HLOOKUP($C$10,$F$3:$J$253,84,0))</f>
        <v/>
      </c>
      <c r="W86" s="71" t="e">
        <f>IF(AA86="","",AA86*10+3)</f>
        <v>#VALUE!</v>
      </c>
      <c r="X86" s="71" t="str">
        <f>IF(OR(COUNTBLANK(AA86)=1,ISERROR(AA86)),"",COUNT(AA4:AA86))</f>
        <v/>
      </c>
      <c r="Y86" s="7" t="e">
        <f t="shared" si="69"/>
        <v>#VALUE!</v>
      </c>
      <c r="Z86" s="1" t="str">
        <f t="shared" si="83"/>
        <v/>
      </c>
      <c r="AA86" s="79" t="e">
        <f>IF(IF(COUNTIF(AA4:AA85,AA85)&gt;=MAX(D4:D8),AA85+1,AA85)&gt;50,"",IF(COUNTIF(AA4:AA85,AA85)&gt;=MAX(D4:D8),AA85+1,AA85))</f>
        <v>#VALUE!</v>
      </c>
      <c r="AB86" s="1" t="e">
        <f>IF(AA86="","",VLOOKUP(AA86,S4:U53,3,0))</f>
        <v>#VALUE!</v>
      </c>
      <c r="AC86" s="8" t="str">
        <f t="shared" si="70"/>
        <v/>
      </c>
      <c r="AE86" s="71" t="e">
        <f t="shared" si="71"/>
        <v>#VALUE!</v>
      </c>
      <c r="AF86" s="71" t="str">
        <f>IF(OR(COUNTBLANK(AI86)=1,ISERROR(AI86)),"",COUNT(AI4:AI86))</f>
        <v/>
      </c>
      <c r="AG86" s="7" t="e">
        <f t="shared" si="72"/>
        <v>#VALUE!</v>
      </c>
      <c r="AH86" s="1" t="str">
        <f>IF(ISERROR(INDEX(C4:C8,MATCH(G86,D4:D8,0))),"",INDEX(C4:C8,MATCH(G86,D4:D8,0)))</f>
        <v/>
      </c>
      <c r="AI86" s="79" t="e">
        <f>IF(IF(COUNTIF(AI4:AI85,AI84)&gt;=MAX(D4:D8),AI84+2,AI84)&gt;50,"",IF(COUNTIF(AI4:AI85,AI84)&gt;=MAX(D4:D8),AI84+2,AI84))</f>
        <v>#VALUE!</v>
      </c>
      <c r="AJ86" s="1" t="e">
        <f>IF(AI86="","",VLOOKUP(AI86,S4:U53,3,0))</f>
        <v>#VALUE!</v>
      </c>
      <c r="AK86" s="8" t="str">
        <f t="shared" si="73"/>
        <v/>
      </c>
      <c r="AM86" s="71" t="e">
        <f t="shared" si="74"/>
        <v>#VALUE!</v>
      </c>
      <c r="AN86" s="71" t="str">
        <f>IF(OR(COUNTBLANK(AQ86)=1,ISERROR(AQ86)),"",COUNT(AQ4:AQ86))</f>
        <v/>
      </c>
      <c r="AO86" s="7" t="e">
        <f t="shared" si="75"/>
        <v>#VALUE!</v>
      </c>
      <c r="AP86" s="1" t="str">
        <f>IF(ISERROR(INDEX(C4:C8,MATCH(H86,D4:D8,0))),"",INDEX(C4:C8,MATCH(H86,D4:D8,0)))</f>
        <v/>
      </c>
      <c r="AQ86" s="79" t="e">
        <f>IF(IF(COUNTIF(AQ4:AQ85,AQ83)&gt;=MAX(D4:D8),AQ83+3,AQ83)&gt;50,"",IF(COUNTIF(AQ4:AQ85,AQ83)&gt;=MAX(D4:D8),AQ83+3,AQ83))</f>
        <v>#VALUE!</v>
      </c>
      <c r="AR86" s="1" t="e">
        <f>IF(AQ86="","",VLOOKUP(AQ86,S4:U53,3,0))</f>
        <v>#VALUE!</v>
      </c>
      <c r="AS86" s="8" t="str">
        <f t="shared" si="76"/>
        <v/>
      </c>
      <c r="AU86" s="71" t="e">
        <f t="shared" si="77"/>
        <v>#VALUE!</v>
      </c>
      <c r="AV86" s="71" t="str">
        <f>IF(OR(COUNTBLANK(AY86)=1,ISERROR(AY86)),"",COUNT(AY4:AY86))</f>
        <v/>
      </c>
      <c r="AW86" s="7" t="e">
        <f t="shared" si="78"/>
        <v>#VALUE!</v>
      </c>
      <c r="AX86" s="1" t="str">
        <f>IF(ISERROR(INDEX(C4:C8,MATCH(I86,D4:D8,0))),"",INDEX(C4:C8,MATCH(I86,D4:D8,0)))</f>
        <v/>
      </c>
      <c r="AY86" s="79" t="e">
        <f>IF(IF(COUNTIF(AY4:AY85,AY82)&gt;=MAX(D4:D8),AY82+4,AY82)&gt;50,"",IF(COUNTIF(AY4:AY85,AY82)&gt;=MAX(D4:D8),AY82+4,AY82))</f>
        <v>#VALUE!</v>
      </c>
      <c r="AZ86" s="76" t="e">
        <f>IF(AY86="","",VLOOKUP(AY86,S4:U53,3,0))</f>
        <v>#VALUE!</v>
      </c>
      <c r="BA86" s="8" t="str">
        <f t="shared" si="79"/>
        <v/>
      </c>
      <c r="BC86" s="71" t="e">
        <f t="shared" si="80"/>
        <v>#VALUE!</v>
      </c>
      <c r="BD86" s="71" t="str">
        <f>IF(OR(COUNTBLANK(BG86)=1,ISERROR(BG86)),"",COUNT(BG4:BG86))</f>
        <v/>
      </c>
      <c r="BE86" s="7" t="e">
        <f t="shared" si="81"/>
        <v>#VALUE!</v>
      </c>
      <c r="BF86" s="1" t="str">
        <f>IF(ISERROR(INDEX(C4:C8,MATCH(J86,D4:D8,0))),"",INDEX(C4:C8,MATCH(J86,D4:D8,0)))</f>
        <v/>
      </c>
      <c r="BG86" s="79" t="e">
        <f>IF(IF(COUNTIF(BG4:BG85,BG81)&gt;=MAX(D4:D8),BG81+5,BG81)&gt;50,"",IF(COUNTIF(BG4:BG85,BG81)&gt;=MAX(D4:D8),BG81+5,BG81))</f>
        <v>#VALUE!</v>
      </c>
      <c r="BH86" s="76" t="e">
        <f>IF(BG86="","",VLOOKUP(BG86,S4:U53,3,0))</f>
        <v>#VALUE!</v>
      </c>
      <c r="BI86" s="8" t="str">
        <f t="shared" si="82"/>
        <v/>
      </c>
      <c r="BP86" s="71" t="e">
        <f>IF(BT86="","",BT86*10+3)</f>
        <v>#VALUE!</v>
      </c>
      <c r="BQ86" s="71" t="str">
        <f>IF(OR(COUNTBLANK(BT86)=1,ISERROR(BT86)),"",COUNT(BT4:BT86))</f>
        <v/>
      </c>
      <c r="BR86" s="7" t="e">
        <f t="shared" si="84"/>
        <v>#VALUE!</v>
      </c>
      <c r="BS86" s="1" t="str">
        <f t="shared" si="85"/>
        <v/>
      </c>
      <c r="BT86" s="79" t="e">
        <f>IF(IF(COUNTIF($BT$4:BT85,BT85)&gt;=MAX($D$4:$D$8),BT85+1,BT85)&gt;55,"",IF(COUNTIF($BT$4:BT85,BT85)&gt;=MAX($D$4:$D$8),BT85+1,BT85))</f>
        <v>#VALUE!</v>
      </c>
      <c r="BU86" s="1" t="e">
        <f t="shared" si="86"/>
        <v>#VALUE!</v>
      </c>
      <c r="BV86" s="8" t="str">
        <f t="shared" si="87"/>
        <v/>
      </c>
      <c r="BX86" s="71" t="e">
        <f t="shared" si="88"/>
        <v>#VALUE!</v>
      </c>
      <c r="BY86" s="71" t="str">
        <f>IF(OR(COUNTBLANK(CB86)=1,ISERROR(CB86)),"",COUNT($CB$4:CB86))</f>
        <v/>
      </c>
      <c r="BZ86" s="7" t="e">
        <f t="shared" si="89"/>
        <v>#VALUE!</v>
      </c>
      <c r="CA86" s="1" t="str">
        <f t="shared" si="90"/>
        <v/>
      </c>
      <c r="CB86" s="79" t="e">
        <f>IF(IF(COUNTIF($CB$4:CB85,CB84)&gt;=MAX($D$4:$D$8),CB84+2,CB84)&gt;55,"",IF(COUNTIF($CB$4:CB85,CB84)&gt;=MAX($D$4:$D$8),CB84+2,CB84))</f>
        <v>#VALUE!</v>
      </c>
      <c r="CC86" s="1" t="e">
        <f t="shared" si="91"/>
        <v>#VALUE!</v>
      </c>
      <c r="CD86" s="8" t="str">
        <f t="shared" si="92"/>
        <v/>
      </c>
      <c r="CF86" s="71" t="e">
        <f t="shared" si="105"/>
        <v>#VALUE!</v>
      </c>
      <c r="CG86" s="71" t="str">
        <f>IF(OR(COUNTBLANK(CJ86)=1,ISERROR(CJ86)),"",COUNT($CJ$4:CJ86))</f>
        <v/>
      </c>
      <c r="CH86" s="7" t="e">
        <f t="shared" si="106"/>
        <v>#VALUE!</v>
      </c>
      <c r="CI86" s="1" t="str">
        <f t="shared" si="107"/>
        <v/>
      </c>
      <c r="CJ86" s="79" t="e">
        <f>IF(IF(COUNTIF($CJ$4:CJ85,CJ83)&gt;=MAX($D$4:$D$8),CJ83+3,CJ83)&gt;55,"",IF(COUNTIF($CJ$4:CJ85,CJ83)&gt;=MAX($D$4:$D$8),CJ83+3,CJ83))</f>
        <v>#VALUE!</v>
      </c>
      <c r="CK86" s="1" t="e">
        <f t="shared" si="93"/>
        <v>#VALUE!</v>
      </c>
      <c r="CL86" s="8" t="str">
        <f t="shared" si="108"/>
        <v/>
      </c>
      <c r="CN86" s="71" t="e">
        <f t="shared" si="99"/>
        <v>#VALUE!</v>
      </c>
      <c r="CO86" s="71" t="str">
        <f>IF(OR(COUNTBLANK(CR86)=1,ISERROR(CR86)),"",COUNT($CR$4:CR86))</f>
        <v/>
      </c>
      <c r="CP86" s="7" t="e">
        <f t="shared" si="100"/>
        <v>#VALUE!</v>
      </c>
      <c r="CQ86" s="1" t="str">
        <f t="shared" si="101"/>
        <v/>
      </c>
      <c r="CR86" s="79" t="e">
        <f>IF(IF(COUNTIF($CR$4:CR85,CR82)&gt;=MAX($D$4:$D$8),CR82+4,CR82)&gt;55,"",IF(COUNTIF($CR$4:CR85,CR82)&gt;=MAX($D$4:$D$8),CR82+4,CR82))</f>
        <v>#VALUE!</v>
      </c>
      <c r="CS86" s="1" t="e">
        <f t="shared" si="94"/>
        <v>#VALUE!</v>
      </c>
      <c r="CT86" s="8" t="str">
        <f t="shared" si="102"/>
        <v/>
      </c>
      <c r="CV86" s="71" t="e">
        <f t="shared" ref="CV86:CV149" si="109">IF(CZ86="","",CZ86*10+J86)</f>
        <v>#VALUE!</v>
      </c>
      <c r="CW86" s="71" t="str">
        <f>IF(OR(COUNTBLANK(CZ86)=1,ISERROR(CZ86)),"",COUNT($CZ$4:CZ86))</f>
        <v/>
      </c>
      <c r="CX86" s="7" t="e">
        <f t="shared" ref="CX86:CX149" si="110">IF(CZ86&gt;25,"ナビ・","1・2年のWナビ・")</f>
        <v>#VALUE!</v>
      </c>
      <c r="CY86" s="1" t="str">
        <f t="shared" ref="CY86:CY149" si="111">IF(ISERROR(INDEX($C$4:$C$8,MATCH(J86,$D$4:$D$8,0))),"",INDEX($C$4:$C$8,MATCH(J86,$D$4:$D$8,0)))</f>
        <v/>
      </c>
      <c r="CZ86" s="79" t="e">
        <f>IF(IF(COUNTIF($CZ$4:CZ85,CZ81)&gt;=MAX($D$4:$D$8),CZ81+5,CZ81)&gt;55,"",IF(COUNTIF($CZ$4:CZ85,CZ81)&gt;=MAX($D$4:$D$8),CZ81+5,CZ81))</f>
        <v>#VALUE!</v>
      </c>
      <c r="DA86" s="1" t="e">
        <f t="shared" si="95"/>
        <v>#VALUE!</v>
      </c>
      <c r="DB86" s="8" t="str">
        <f t="shared" ref="DB86:DB149" si="112">IF(ISERROR(IF(COUNTIF(CY86:DA86,"")&gt;=1,"",CX86&amp;CY86&amp;"【"&amp;VLOOKUP(CZ86,$BL$4:$BN$58,2,0)&amp;"】"&amp;DA86)),"",IF(COUNTIF(CY86:DA86,"")&gt;=1,"",CX86&amp;CY86&amp;"【"&amp;VLOOKUP(CZ86,$BL$4:$BN$58,2,0)&amp;"】"&amp;DA86))</f>
        <v/>
      </c>
    </row>
    <row r="87" spans="5:106" x14ac:dyDescent="0.15">
      <c r="E87" s="1">
        <v>84</v>
      </c>
      <c r="F87" s="1">
        <f t="shared" si="96"/>
        <v>1</v>
      </c>
      <c r="G87" s="1">
        <f t="shared" si="103"/>
        <v>1</v>
      </c>
      <c r="H87" s="1">
        <f t="shared" si="97"/>
        <v>1</v>
      </c>
      <c r="I87" s="1">
        <f t="shared" si="98"/>
        <v>1</v>
      </c>
      <c r="J87" s="1">
        <f t="shared" si="104"/>
        <v>1</v>
      </c>
      <c r="L87" s="1" t="str">
        <f>IF(ISERROR(HLOOKUP($C$10,$F$3:$J$253,85,0)),"",HLOOKUP($C$10,$F$3:$J$253,85,0))</f>
        <v/>
      </c>
      <c r="W87" s="71" t="e">
        <f>IF(AA87="","",AA87*10+4)</f>
        <v>#VALUE!</v>
      </c>
      <c r="X87" s="71" t="str">
        <f>IF(OR(COUNTBLANK(AA87)=1,ISERROR(AA87)),"",COUNT(AA4:AA87))</f>
        <v/>
      </c>
      <c r="Y87" s="7" t="e">
        <f t="shared" si="69"/>
        <v>#VALUE!</v>
      </c>
      <c r="Z87" s="1" t="str">
        <f t="shared" si="83"/>
        <v/>
      </c>
      <c r="AA87" s="79" t="e">
        <f>IF(IF(COUNTIF(AA4:AA86,AA86)&gt;=MAX(D4:D8),AA86+1,AA86)&gt;50,"",IF(COUNTIF(AA4:AA86,AA86)&gt;=MAX(D4:D8),AA86+1,AA86))</f>
        <v>#VALUE!</v>
      </c>
      <c r="AB87" s="1" t="e">
        <f>IF(AA87="","",VLOOKUP(AA87,S4:U53,3,0))</f>
        <v>#VALUE!</v>
      </c>
      <c r="AC87" s="8" t="str">
        <f t="shared" si="70"/>
        <v/>
      </c>
      <c r="AE87" s="71" t="e">
        <f t="shared" si="71"/>
        <v>#VALUE!</v>
      </c>
      <c r="AF87" s="71" t="str">
        <f>IF(OR(COUNTBLANK(AI87)=1,ISERROR(AI87)),"",COUNT(AI4:AI87))</f>
        <v/>
      </c>
      <c r="AG87" s="7" t="e">
        <f t="shared" si="72"/>
        <v>#VALUE!</v>
      </c>
      <c r="AH87" s="1" t="str">
        <f>IF(ISERROR(INDEX(C4:C8,MATCH(G87,D4:D8,0))),"",INDEX(C4:C8,MATCH(G87,D4:D8,0)))</f>
        <v/>
      </c>
      <c r="AI87" s="79" t="e">
        <f>IF(IF(COUNTIF(AI4:AI85,AI85)&gt;=MAX(D4:D8),AI85+2,AI85)&gt;50,"",IF(COUNTIF(AI4:AI85,AI85)&gt;=MAX(D4:D8),AI85+2,AI85))</f>
        <v>#VALUE!</v>
      </c>
      <c r="AJ87" s="1" t="e">
        <f>IF(AI87="","",VLOOKUP(AI87,S4:U53,3,0))</f>
        <v>#VALUE!</v>
      </c>
      <c r="AK87" s="8" t="str">
        <f t="shared" si="73"/>
        <v/>
      </c>
      <c r="AM87" s="71" t="e">
        <f t="shared" si="74"/>
        <v>#VALUE!</v>
      </c>
      <c r="AN87" s="71" t="str">
        <f>IF(OR(COUNTBLANK(AQ87)=1,ISERROR(AQ87)),"",COUNT(AQ4:AQ87))</f>
        <v/>
      </c>
      <c r="AO87" s="7" t="e">
        <f t="shared" si="75"/>
        <v>#VALUE!</v>
      </c>
      <c r="AP87" s="1" t="str">
        <f>IF(ISERROR(INDEX(C4:C8,MATCH(H87,D4:D8,0))),"",INDEX(C4:C8,MATCH(H87,D4:D8,0)))</f>
        <v/>
      </c>
      <c r="AQ87" s="79" t="e">
        <f>IF(IF(COUNTIF(AQ4:AQ86,AQ84)&gt;=MAX(D4:D8),AQ84+3,AQ84)&gt;50,"",IF(COUNTIF(AQ4:AQ86,AQ84)&gt;=MAX(D4:D8),AQ84+3,AQ84))</f>
        <v>#VALUE!</v>
      </c>
      <c r="AR87" s="1" t="e">
        <f>IF(AQ87="","",VLOOKUP(AQ87,S4:U53,3,0))</f>
        <v>#VALUE!</v>
      </c>
      <c r="AS87" s="8" t="str">
        <f t="shared" si="76"/>
        <v/>
      </c>
      <c r="AU87" s="71" t="e">
        <f t="shared" si="77"/>
        <v>#VALUE!</v>
      </c>
      <c r="AV87" s="71" t="str">
        <f>IF(OR(COUNTBLANK(AY87)=1,ISERROR(AY87)),"",COUNT(AY4:AY87))</f>
        <v/>
      </c>
      <c r="AW87" s="7" t="e">
        <f t="shared" si="78"/>
        <v>#VALUE!</v>
      </c>
      <c r="AX87" s="1" t="str">
        <f>IF(ISERROR(INDEX(C4:C8,MATCH(I87,D4:D8,0))),"",INDEX(C4:C8,MATCH(I87,D4:D8,0)))</f>
        <v/>
      </c>
      <c r="AY87" s="79" t="e">
        <f>IF(IF(COUNTIF(AY4:AY86,AY83)&gt;=MAX(D4:D8),AY83+4,AY83)&gt;50,"",IF(COUNTIF(AY4:AY86,AY83)&gt;=MAX(D4:D8),AY83+4,AY83))</f>
        <v>#VALUE!</v>
      </c>
      <c r="AZ87" s="76" t="e">
        <f>IF(AY87="","",VLOOKUP(AY87,S4:U53,3,0))</f>
        <v>#VALUE!</v>
      </c>
      <c r="BA87" s="8" t="str">
        <f t="shared" si="79"/>
        <v/>
      </c>
      <c r="BC87" s="71" t="e">
        <f t="shared" si="80"/>
        <v>#VALUE!</v>
      </c>
      <c r="BD87" s="71" t="str">
        <f>IF(OR(COUNTBLANK(BG87)=1,ISERROR(BG87)),"",COUNT(BG4:BG87))</f>
        <v/>
      </c>
      <c r="BE87" s="7" t="e">
        <f t="shared" si="81"/>
        <v>#VALUE!</v>
      </c>
      <c r="BF87" s="1" t="str">
        <f>IF(ISERROR(INDEX(C4:C8,MATCH(J87,D4:D8,0))),"",INDEX(C4:C8,MATCH(J87,D4:D8,0)))</f>
        <v/>
      </c>
      <c r="BG87" s="79" t="e">
        <f>IF(IF(COUNTIF(BG4:BG86,BG82)&gt;=MAX(D4:D8),BG82+5,BG82)&gt;50,"",IF(COUNTIF(BG4:BG86,BG82)&gt;=MAX(D4:D8),BG82+5,BG82))</f>
        <v>#VALUE!</v>
      </c>
      <c r="BH87" s="76" t="e">
        <f>IF(BG87="","",VLOOKUP(BG87,S4:U53,3,0))</f>
        <v>#VALUE!</v>
      </c>
      <c r="BI87" s="8" t="str">
        <f t="shared" si="82"/>
        <v/>
      </c>
      <c r="BP87" s="71" t="e">
        <f>IF(BT87="","",BT87*10+4)</f>
        <v>#VALUE!</v>
      </c>
      <c r="BQ87" s="71" t="str">
        <f>IF(OR(COUNTBLANK(BT87)=1,ISERROR(BT87)),"",COUNT(BT4:BT87))</f>
        <v/>
      </c>
      <c r="BR87" s="7" t="e">
        <f t="shared" si="84"/>
        <v>#VALUE!</v>
      </c>
      <c r="BS87" s="1" t="str">
        <f t="shared" si="85"/>
        <v/>
      </c>
      <c r="BT87" s="79" t="e">
        <f>IF(IF(COUNTIF($BT$4:BT86,BT86)&gt;=MAX($D$4:$D$8),BT86+1,BT86)&gt;55,"",IF(COUNTIF($BT$4:BT86,BT86)&gt;=MAX($D$4:$D$8),BT86+1,BT86))</f>
        <v>#VALUE!</v>
      </c>
      <c r="BU87" s="1" t="e">
        <f t="shared" si="86"/>
        <v>#VALUE!</v>
      </c>
      <c r="BV87" s="8" t="str">
        <f t="shared" si="87"/>
        <v/>
      </c>
      <c r="BX87" s="71" t="e">
        <f t="shared" si="88"/>
        <v>#VALUE!</v>
      </c>
      <c r="BY87" s="71" t="str">
        <f>IF(OR(COUNTBLANK(CB87)=1,ISERROR(CB87)),"",COUNT($CB$4:CB87))</f>
        <v/>
      </c>
      <c r="BZ87" s="7" t="e">
        <f t="shared" si="89"/>
        <v>#VALUE!</v>
      </c>
      <c r="CA87" s="1" t="str">
        <f t="shared" si="90"/>
        <v/>
      </c>
      <c r="CB87" s="79" t="e">
        <f>IF(IF(COUNTIF($CB$4:CB86,CB85)&gt;=MAX($D$4:$D$8),CB85+2,CB85)&gt;55,"",IF(COUNTIF($CB$4:CB86,CB85)&gt;=MAX($D$4:$D$8),CB85+2,CB85))</f>
        <v>#VALUE!</v>
      </c>
      <c r="CC87" s="1" t="e">
        <f t="shared" si="91"/>
        <v>#VALUE!</v>
      </c>
      <c r="CD87" s="8" t="str">
        <f t="shared" si="92"/>
        <v/>
      </c>
      <c r="CF87" s="71" t="e">
        <f t="shared" si="105"/>
        <v>#VALUE!</v>
      </c>
      <c r="CG87" s="71" t="str">
        <f>IF(OR(COUNTBLANK(CJ87)=1,ISERROR(CJ87)),"",COUNT($CJ$4:CJ87))</f>
        <v/>
      </c>
      <c r="CH87" s="7" t="e">
        <f t="shared" si="106"/>
        <v>#VALUE!</v>
      </c>
      <c r="CI87" s="1" t="str">
        <f t="shared" si="107"/>
        <v/>
      </c>
      <c r="CJ87" s="79" t="e">
        <f>IF(IF(COUNTIF($CJ$4:CJ86,CJ84)&gt;=MAX($D$4:$D$8),CJ84+3,CJ84)&gt;55,"",IF(COUNTIF($CJ$4:CJ86,CJ84)&gt;=MAX($D$4:$D$8),CJ84+3,CJ84))</f>
        <v>#VALUE!</v>
      </c>
      <c r="CK87" s="1" t="e">
        <f t="shared" si="93"/>
        <v>#VALUE!</v>
      </c>
      <c r="CL87" s="8" t="str">
        <f t="shared" si="108"/>
        <v/>
      </c>
      <c r="CN87" s="71" t="e">
        <f t="shared" si="99"/>
        <v>#VALUE!</v>
      </c>
      <c r="CO87" s="71" t="str">
        <f>IF(OR(COUNTBLANK(CR87)=1,ISERROR(CR87)),"",COUNT($CR$4:CR87))</f>
        <v/>
      </c>
      <c r="CP87" s="7" t="e">
        <f t="shared" si="100"/>
        <v>#VALUE!</v>
      </c>
      <c r="CQ87" s="1" t="str">
        <f t="shared" si="101"/>
        <v/>
      </c>
      <c r="CR87" s="79" t="e">
        <f>IF(IF(COUNTIF($CR$4:CR86,CR83)&gt;=MAX($D$4:$D$8),CR83+4,CR83)&gt;55,"",IF(COUNTIF($CR$4:CR86,CR83)&gt;=MAX($D$4:$D$8),CR83+4,CR83))</f>
        <v>#VALUE!</v>
      </c>
      <c r="CS87" s="1" t="e">
        <f t="shared" si="94"/>
        <v>#VALUE!</v>
      </c>
      <c r="CT87" s="8" t="str">
        <f t="shared" si="102"/>
        <v/>
      </c>
      <c r="CV87" s="71" t="e">
        <f t="shared" si="109"/>
        <v>#VALUE!</v>
      </c>
      <c r="CW87" s="71" t="str">
        <f>IF(OR(COUNTBLANK(CZ87)=1,ISERROR(CZ87)),"",COUNT($CZ$4:CZ87))</f>
        <v/>
      </c>
      <c r="CX87" s="7" t="e">
        <f t="shared" si="110"/>
        <v>#VALUE!</v>
      </c>
      <c r="CY87" s="1" t="str">
        <f t="shared" si="111"/>
        <v/>
      </c>
      <c r="CZ87" s="79" t="e">
        <f>IF(IF(COUNTIF($CZ$4:CZ86,CZ82)&gt;=MAX($D$4:$D$8),CZ82+5,CZ82)&gt;55,"",IF(COUNTIF($CZ$4:CZ86,CZ82)&gt;=MAX($D$4:$D$8),CZ82+5,CZ82))</f>
        <v>#VALUE!</v>
      </c>
      <c r="DA87" s="1" t="e">
        <f t="shared" si="95"/>
        <v>#VALUE!</v>
      </c>
      <c r="DB87" s="8" t="str">
        <f t="shared" si="112"/>
        <v/>
      </c>
    </row>
    <row r="88" spans="5:106" x14ac:dyDescent="0.15">
      <c r="E88" s="1">
        <v>85</v>
      </c>
      <c r="F88" s="1">
        <f t="shared" si="96"/>
        <v>1</v>
      </c>
      <c r="G88" s="1">
        <f t="shared" si="103"/>
        <v>1</v>
      </c>
      <c r="H88" s="1">
        <f t="shared" si="97"/>
        <v>1</v>
      </c>
      <c r="I88" s="1">
        <f t="shared" si="98"/>
        <v>1</v>
      </c>
      <c r="J88" s="1">
        <f t="shared" si="104"/>
        <v>1</v>
      </c>
      <c r="L88" s="1" t="str">
        <f>IF(ISERROR(HLOOKUP($C$10,$F$3:$J$253,86,0)),"",HLOOKUP($C$10,$F$3:$J$253,86,0))</f>
        <v/>
      </c>
      <c r="W88" s="71" t="e">
        <f>IF(AA88="","",AA88*10+5)</f>
        <v>#VALUE!</v>
      </c>
      <c r="X88" s="71" t="str">
        <f>IF(OR(COUNTBLANK(AA88)=1,ISERROR(AA88)),"",COUNT(AA4:AA88))</f>
        <v/>
      </c>
      <c r="Y88" s="7" t="e">
        <f t="shared" si="69"/>
        <v>#VALUE!</v>
      </c>
      <c r="Z88" s="1" t="str">
        <f t="shared" si="83"/>
        <v/>
      </c>
      <c r="AA88" s="79" t="e">
        <f>IF(IF(COUNTIF(AA4:AA87,AA87)&gt;=MAX(D4:D8),AA87+1,AA87)&gt;50,"",IF(COUNTIF(AA4:AA87,AA87)&gt;=MAX(D4:D8),AA87+1,AA87))</f>
        <v>#VALUE!</v>
      </c>
      <c r="AB88" s="1" t="e">
        <f>IF(AA88="","",VLOOKUP(AA88,S4:U53,3,0))</f>
        <v>#VALUE!</v>
      </c>
      <c r="AC88" s="8" t="str">
        <f t="shared" si="70"/>
        <v/>
      </c>
      <c r="AE88" s="71" t="e">
        <f t="shared" si="71"/>
        <v>#VALUE!</v>
      </c>
      <c r="AF88" s="71" t="str">
        <f>IF(OR(COUNTBLANK(AI88)=1,ISERROR(AI88)),"",COUNT(AI4:AI88))</f>
        <v/>
      </c>
      <c r="AG88" s="7" t="e">
        <f t="shared" si="72"/>
        <v>#VALUE!</v>
      </c>
      <c r="AH88" s="1" t="str">
        <f>IF(ISERROR(INDEX(C4:C8,MATCH(G88,D4:D8,0))),"",INDEX(C4:C8,MATCH(G88,D4:D8,0)))</f>
        <v/>
      </c>
      <c r="AI88" s="79" t="e">
        <f>IF(IF(COUNTIF(AI4:AI87,AI86)&gt;=MAX(D4:D8),AI86+2,AI86)&gt;50,"",IF(COUNTIF(AI4:AI87,AI86)&gt;=MAX(D4:D8),AI86+2,AI86))</f>
        <v>#VALUE!</v>
      </c>
      <c r="AJ88" s="1" t="e">
        <f>IF(AI88="","",VLOOKUP(AI88,S4:U53,3,0))</f>
        <v>#VALUE!</v>
      </c>
      <c r="AK88" s="8" t="str">
        <f t="shared" si="73"/>
        <v/>
      </c>
      <c r="AM88" s="71" t="e">
        <f t="shared" si="74"/>
        <v>#VALUE!</v>
      </c>
      <c r="AN88" s="71" t="str">
        <f>IF(OR(COUNTBLANK(AQ88)=1,ISERROR(AQ88)),"",COUNT(AQ4:AQ88))</f>
        <v/>
      </c>
      <c r="AO88" s="7" t="e">
        <f t="shared" si="75"/>
        <v>#VALUE!</v>
      </c>
      <c r="AP88" s="1" t="str">
        <f>IF(ISERROR(INDEX(C4:C8,MATCH(H88,D4:D8,0))),"",INDEX(C4:C8,MATCH(H88,D4:D8,0)))</f>
        <v/>
      </c>
      <c r="AQ88" s="79" t="e">
        <f>IF(IF(COUNTIF(AQ4:AQ87,AQ85)&gt;=MAX(D4:D8),AQ85+3,AQ85)&gt;50,"",IF(COUNTIF(AQ4:AQ87,AQ85)&gt;=MAX(D4:D8),AQ85+3,AQ85))</f>
        <v>#VALUE!</v>
      </c>
      <c r="AR88" s="1" t="e">
        <f>IF(AQ88="","",VLOOKUP(AQ88,S4:U53,3,0))</f>
        <v>#VALUE!</v>
      </c>
      <c r="AS88" s="8" t="str">
        <f t="shared" si="76"/>
        <v/>
      </c>
      <c r="AU88" s="71" t="e">
        <f t="shared" si="77"/>
        <v>#VALUE!</v>
      </c>
      <c r="AV88" s="71" t="str">
        <f>IF(OR(COUNTBLANK(AY88)=1,ISERROR(AY88)),"",COUNT(AY4:AY88))</f>
        <v/>
      </c>
      <c r="AW88" s="7" t="e">
        <f t="shared" si="78"/>
        <v>#VALUE!</v>
      </c>
      <c r="AX88" s="1" t="str">
        <f>IF(ISERROR(INDEX(C4:C8,MATCH(I88,D4:D8,0))),"",INDEX(C4:C8,MATCH(I88,D4:D8,0)))</f>
        <v/>
      </c>
      <c r="AY88" s="79" t="e">
        <f>IF(IF(COUNTIF(AY4:AY87,AY84)&gt;=MAX(D4:D8),AY84+4,AY84)&gt;50,"",IF(COUNTIF(AY4:AY87,AY84)&gt;=MAX(D4:D8),AY84+4,AY84))</f>
        <v>#VALUE!</v>
      </c>
      <c r="AZ88" s="76" t="e">
        <f>IF(AY88="","",VLOOKUP(AY88,S4:U53,3,0))</f>
        <v>#VALUE!</v>
      </c>
      <c r="BA88" s="8" t="str">
        <f t="shared" si="79"/>
        <v/>
      </c>
      <c r="BC88" s="71" t="e">
        <f t="shared" si="80"/>
        <v>#VALUE!</v>
      </c>
      <c r="BD88" s="71" t="str">
        <f>IF(OR(COUNTBLANK(BG88)=1,ISERROR(BG88)),"",COUNT(BG4:BG88))</f>
        <v/>
      </c>
      <c r="BE88" s="7" t="e">
        <f t="shared" si="81"/>
        <v>#VALUE!</v>
      </c>
      <c r="BF88" s="1" t="str">
        <f>IF(ISERROR(INDEX(C4:C8,MATCH(J88,D4:D8,0))),"",INDEX(C4:C8,MATCH(J88,D4:D8,0)))</f>
        <v/>
      </c>
      <c r="BG88" s="79" t="e">
        <f>IF(IF(COUNTIF(BG4:BG87,BG83)&gt;=MAX(D4:D8),BG83+5,BG83)&gt;50,"",IF(COUNTIF(BG4:BG87,BG83)&gt;=MAX(D4:D8),BG83+5,BG83))</f>
        <v>#VALUE!</v>
      </c>
      <c r="BH88" s="76" t="e">
        <f>IF(BG88="","",VLOOKUP(BG88,S4:U53,3,0))</f>
        <v>#VALUE!</v>
      </c>
      <c r="BI88" s="8" t="str">
        <f t="shared" si="82"/>
        <v/>
      </c>
      <c r="BP88" s="71" t="e">
        <f>IF(BT88="","",BT88*10+5)</f>
        <v>#VALUE!</v>
      </c>
      <c r="BQ88" s="71" t="str">
        <f>IF(OR(COUNTBLANK(BT88)=1,ISERROR(BT88)),"",COUNT(BT4:BT88))</f>
        <v/>
      </c>
      <c r="BR88" s="7" t="e">
        <f t="shared" si="84"/>
        <v>#VALUE!</v>
      </c>
      <c r="BS88" s="1" t="str">
        <f t="shared" si="85"/>
        <v/>
      </c>
      <c r="BT88" s="79" t="e">
        <f>IF(IF(COUNTIF($BT$4:BT87,BT87)&gt;=MAX($D$4:$D$8),BT87+1,BT87)&gt;55,"",IF(COUNTIF($BT$4:BT87,BT87)&gt;=MAX($D$4:$D$8),BT87+1,BT87))</f>
        <v>#VALUE!</v>
      </c>
      <c r="BU88" s="1" t="e">
        <f t="shared" si="86"/>
        <v>#VALUE!</v>
      </c>
      <c r="BV88" s="8" t="str">
        <f t="shared" si="87"/>
        <v/>
      </c>
      <c r="BX88" s="71" t="e">
        <f t="shared" si="88"/>
        <v>#VALUE!</v>
      </c>
      <c r="BY88" s="71" t="str">
        <f>IF(OR(COUNTBLANK(CB88)=1,ISERROR(CB88)),"",COUNT($CB$4:CB88))</f>
        <v/>
      </c>
      <c r="BZ88" s="7" t="e">
        <f t="shared" si="89"/>
        <v>#VALUE!</v>
      </c>
      <c r="CA88" s="1" t="str">
        <f t="shared" si="90"/>
        <v/>
      </c>
      <c r="CB88" s="79" t="e">
        <f>IF(IF(COUNTIF($CB$4:CB87,CB86)&gt;=MAX($D$4:$D$8),CB86+2,CB86)&gt;55,"",IF(COUNTIF($CB$4:CB87,CB86)&gt;=MAX($D$4:$D$8),CB86+2,CB86))</f>
        <v>#VALUE!</v>
      </c>
      <c r="CC88" s="1" t="e">
        <f t="shared" si="91"/>
        <v>#VALUE!</v>
      </c>
      <c r="CD88" s="8" t="str">
        <f t="shared" si="92"/>
        <v/>
      </c>
      <c r="CF88" s="71" t="e">
        <f t="shared" si="105"/>
        <v>#VALUE!</v>
      </c>
      <c r="CG88" s="71" t="str">
        <f>IF(OR(COUNTBLANK(CJ88)=1,ISERROR(CJ88)),"",COUNT($CJ$4:CJ88))</f>
        <v/>
      </c>
      <c r="CH88" s="7" t="e">
        <f t="shared" si="106"/>
        <v>#VALUE!</v>
      </c>
      <c r="CI88" s="1" t="str">
        <f t="shared" si="107"/>
        <v/>
      </c>
      <c r="CJ88" s="79" t="e">
        <f>IF(IF(COUNTIF($CJ$4:CJ87,CJ85)&gt;=MAX($D$4:$D$8),CJ85+3,CJ85)&gt;55,"",IF(COUNTIF($CJ$4:CJ87,CJ85)&gt;=MAX($D$4:$D$8),CJ85+3,CJ85))</f>
        <v>#VALUE!</v>
      </c>
      <c r="CK88" s="1" t="e">
        <f t="shared" si="93"/>
        <v>#VALUE!</v>
      </c>
      <c r="CL88" s="8" t="str">
        <f t="shared" si="108"/>
        <v/>
      </c>
      <c r="CN88" s="71" t="e">
        <f t="shared" si="99"/>
        <v>#VALUE!</v>
      </c>
      <c r="CO88" s="71" t="str">
        <f>IF(OR(COUNTBLANK(CR88)=1,ISERROR(CR88)),"",COUNT($CR$4:CR88))</f>
        <v/>
      </c>
      <c r="CP88" s="7" t="e">
        <f t="shared" si="100"/>
        <v>#VALUE!</v>
      </c>
      <c r="CQ88" s="1" t="str">
        <f t="shared" si="101"/>
        <v/>
      </c>
      <c r="CR88" s="79" t="e">
        <f>IF(IF(COUNTIF($CR$4:CR87,CR84)&gt;=MAX($D$4:$D$8),CR84+4,CR84)&gt;55,"",IF(COUNTIF($CR$4:CR87,CR84)&gt;=MAX($D$4:$D$8),CR84+4,CR84))</f>
        <v>#VALUE!</v>
      </c>
      <c r="CS88" s="1" t="e">
        <f t="shared" si="94"/>
        <v>#VALUE!</v>
      </c>
      <c r="CT88" s="8" t="str">
        <f t="shared" si="102"/>
        <v/>
      </c>
      <c r="CV88" s="71" t="e">
        <f t="shared" si="109"/>
        <v>#VALUE!</v>
      </c>
      <c r="CW88" s="71" t="str">
        <f>IF(OR(COUNTBLANK(CZ88)=1,ISERROR(CZ88)),"",COUNT($CZ$4:CZ88))</f>
        <v/>
      </c>
      <c r="CX88" s="7" t="e">
        <f t="shared" si="110"/>
        <v>#VALUE!</v>
      </c>
      <c r="CY88" s="1" t="str">
        <f t="shared" si="111"/>
        <v/>
      </c>
      <c r="CZ88" s="79" t="e">
        <f>IF(IF(COUNTIF($CZ$4:CZ87,CZ83)&gt;=MAX($D$4:$D$8),CZ83+5,CZ83)&gt;55,"",IF(COUNTIF($CZ$4:CZ87,CZ83)&gt;=MAX($D$4:$D$8),CZ83+5,CZ83))</f>
        <v>#VALUE!</v>
      </c>
      <c r="DA88" s="1" t="e">
        <f t="shared" si="95"/>
        <v>#VALUE!</v>
      </c>
      <c r="DB88" s="8" t="str">
        <f t="shared" si="112"/>
        <v/>
      </c>
    </row>
    <row r="89" spans="5:106" x14ac:dyDescent="0.15">
      <c r="E89" s="1">
        <v>86</v>
      </c>
      <c r="F89" s="1">
        <f t="shared" si="96"/>
        <v>1</v>
      </c>
      <c r="G89" s="1">
        <f t="shared" si="103"/>
        <v>1</v>
      </c>
      <c r="H89" s="1">
        <f t="shared" si="97"/>
        <v>1</v>
      </c>
      <c r="I89" s="1">
        <f t="shared" si="98"/>
        <v>1</v>
      </c>
      <c r="J89" s="1">
        <f t="shared" si="104"/>
        <v>1</v>
      </c>
      <c r="L89" s="1" t="str">
        <f>IF(ISERROR(HLOOKUP($C$10,$F$3:$J$253,87,0)),"",HLOOKUP($C$10,$F$3:$J$253,87,0))</f>
        <v/>
      </c>
      <c r="W89" s="71" t="e">
        <f>IF(AA89="","",AA89*10+1)</f>
        <v>#VALUE!</v>
      </c>
      <c r="X89" s="71" t="str">
        <f>IF(OR(COUNTBLANK(AA89)=1,ISERROR(AA89)),"",COUNT(AA4:AA89))</f>
        <v/>
      </c>
      <c r="Y89" s="7" t="e">
        <f t="shared" si="69"/>
        <v>#VALUE!</v>
      </c>
      <c r="Z89" s="1" t="str">
        <f t="shared" si="83"/>
        <v/>
      </c>
      <c r="AA89" s="79" t="e">
        <f>IF(IF(COUNTIF(AA4:AA88,AA88)&gt;=MAX(D4:D8),AA88+1,AA88)&gt;50,"",IF(COUNTIF(AA4:AA88,AA88)&gt;=MAX(D4:D8),AA88+1,AA88))</f>
        <v>#VALUE!</v>
      </c>
      <c r="AB89" s="1" t="e">
        <f>IF(AA89="","",VLOOKUP(AA89,S4:U53,3,0))</f>
        <v>#VALUE!</v>
      </c>
      <c r="AC89" s="8" t="str">
        <f t="shared" si="70"/>
        <v/>
      </c>
      <c r="AE89" s="71" t="e">
        <f t="shared" si="71"/>
        <v>#VALUE!</v>
      </c>
      <c r="AF89" s="71" t="str">
        <f>IF(OR(COUNTBLANK(AI89)=1,ISERROR(AI89)),"",COUNT(AI4:AI89))</f>
        <v/>
      </c>
      <c r="AG89" s="7" t="e">
        <f t="shared" si="72"/>
        <v>#VALUE!</v>
      </c>
      <c r="AH89" s="1" t="str">
        <f>IF(ISERROR(INDEX(C4:C8,MATCH(G89,D4:D8,0))),"",INDEX(C4:C8,MATCH(G89,D4:D8,0)))</f>
        <v/>
      </c>
      <c r="AI89" s="79" t="e">
        <f>IF(IF(COUNTIF(AI4:AI87,AI87)&gt;=MAX(D4:D8),AI87+2,AI87)&gt;50,"",IF(COUNTIF(AI4:AI87,AI87)&gt;=MAX(D4:D8),AI87+2,AI87))</f>
        <v>#VALUE!</v>
      </c>
      <c r="AJ89" s="1" t="e">
        <f>IF(AI89="","",VLOOKUP(AI89,S4:U53,3,0))</f>
        <v>#VALUE!</v>
      </c>
      <c r="AK89" s="8" t="str">
        <f t="shared" si="73"/>
        <v/>
      </c>
      <c r="AM89" s="71" t="e">
        <f t="shared" si="74"/>
        <v>#VALUE!</v>
      </c>
      <c r="AN89" s="71" t="str">
        <f>IF(OR(COUNTBLANK(AQ89)=1,ISERROR(AQ89)),"",COUNT(AQ4:AQ89))</f>
        <v/>
      </c>
      <c r="AO89" s="7" t="e">
        <f t="shared" si="75"/>
        <v>#VALUE!</v>
      </c>
      <c r="AP89" s="1" t="str">
        <f>IF(ISERROR(INDEX(C4:C8,MATCH(H89,D4:D8,0))),"",INDEX(C4:C8,MATCH(H89,D4:D8,0)))</f>
        <v/>
      </c>
      <c r="AQ89" s="79" t="e">
        <f>IF(IF(COUNTIF(AQ4:AQ88,AQ86)&gt;=MAX(D4:D8),AQ86+3,AQ86)&gt;50,"",IF(COUNTIF(AQ4:AQ88,AQ86)&gt;=MAX(D4:D8),AQ86+3,AQ86))</f>
        <v>#VALUE!</v>
      </c>
      <c r="AR89" s="1" t="e">
        <f>IF(AQ89="","",VLOOKUP(AQ89,S4:U53,3,0))</f>
        <v>#VALUE!</v>
      </c>
      <c r="AS89" s="8" t="str">
        <f t="shared" si="76"/>
        <v/>
      </c>
      <c r="AU89" s="71" t="e">
        <f t="shared" si="77"/>
        <v>#VALUE!</v>
      </c>
      <c r="AV89" s="71" t="str">
        <f>IF(OR(COUNTBLANK(AY89)=1,ISERROR(AY89)),"",COUNT(AY4:AY89))</f>
        <v/>
      </c>
      <c r="AW89" s="7" t="e">
        <f t="shared" si="78"/>
        <v>#VALUE!</v>
      </c>
      <c r="AX89" s="1" t="str">
        <f>IF(ISERROR(INDEX(C4:C8,MATCH(I89,D4:D8,0))),"",INDEX(C4:C8,MATCH(I89,D4:D8,0)))</f>
        <v/>
      </c>
      <c r="AY89" s="79" t="e">
        <f>IF(IF(COUNTIF(AY4:AY88,AY85)&gt;=MAX(D4:D8),AY85+4,AY85)&gt;50,"",IF(COUNTIF(AY4:AY88,AY85)&gt;=MAX(D4:D8),AY85+4,AY85))</f>
        <v>#VALUE!</v>
      </c>
      <c r="AZ89" s="76" t="e">
        <f>IF(AY89="","",VLOOKUP(AY89,S4:U53,3,0))</f>
        <v>#VALUE!</v>
      </c>
      <c r="BA89" s="8" t="str">
        <f t="shared" si="79"/>
        <v/>
      </c>
      <c r="BC89" s="71" t="e">
        <f t="shared" si="80"/>
        <v>#VALUE!</v>
      </c>
      <c r="BD89" s="71" t="str">
        <f>IF(OR(COUNTBLANK(BG89)=1,ISERROR(BG89)),"",COUNT(BG4:BG89))</f>
        <v/>
      </c>
      <c r="BE89" s="7" t="e">
        <f t="shared" si="81"/>
        <v>#VALUE!</v>
      </c>
      <c r="BF89" s="1" t="str">
        <f>IF(ISERROR(INDEX(C4:C8,MATCH(J89,D4:D8,0))),"",INDEX(C4:C8,MATCH(J89,D4:D8,0)))</f>
        <v/>
      </c>
      <c r="BG89" s="79" t="e">
        <f>IF(IF(COUNTIF(BG4:BG88,BG84)&gt;=MAX(D4:D8),BG84+5,BG84)&gt;50,"",IF(COUNTIF(BG4:BG88,BG84)&gt;=MAX(D4:D8),BG84+5,BG84))</f>
        <v>#VALUE!</v>
      </c>
      <c r="BH89" s="76" t="e">
        <f>IF(BG89="","",VLOOKUP(BG89,S4:U53,3,0))</f>
        <v>#VALUE!</v>
      </c>
      <c r="BI89" s="8" t="str">
        <f t="shared" si="82"/>
        <v/>
      </c>
      <c r="BP89" s="71" t="e">
        <f>IF(BT89="","",BT89*10+1)</f>
        <v>#VALUE!</v>
      </c>
      <c r="BQ89" s="71" t="str">
        <f>IF(OR(COUNTBLANK(BT89)=1,ISERROR(BT89)),"",COUNT(BT4:BT89))</f>
        <v/>
      </c>
      <c r="BR89" s="7" t="e">
        <f t="shared" si="84"/>
        <v>#VALUE!</v>
      </c>
      <c r="BS89" s="1" t="str">
        <f t="shared" si="85"/>
        <v/>
      </c>
      <c r="BT89" s="79" t="e">
        <f>IF(IF(COUNTIF($BT$4:BT88,BT88)&gt;=MAX($D$4:$D$8),BT88+1,BT88)&gt;55,"",IF(COUNTIF($BT$4:BT88,BT88)&gt;=MAX($D$4:$D$8),BT88+1,BT88))</f>
        <v>#VALUE!</v>
      </c>
      <c r="BU89" s="1" t="e">
        <f t="shared" si="86"/>
        <v>#VALUE!</v>
      </c>
      <c r="BV89" s="8" t="str">
        <f t="shared" si="87"/>
        <v/>
      </c>
      <c r="BX89" s="71" t="e">
        <f t="shared" si="88"/>
        <v>#VALUE!</v>
      </c>
      <c r="BY89" s="71" t="str">
        <f>IF(OR(COUNTBLANK(CB89)=1,ISERROR(CB89)),"",COUNT($CB$4:CB89))</f>
        <v/>
      </c>
      <c r="BZ89" s="7" t="e">
        <f t="shared" si="89"/>
        <v>#VALUE!</v>
      </c>
      <c r="CA89" s="1" t="str">
        <f t="shared" si="90"/>
        <v/>
      </c>
      <c r="CB89" s="79" t="e">
        <f>IF(IF(COUNTIF($CB$4:CB88,CB87)&gt;=MAX($D$4:$D$8),CB87+2,CB87)&gt;55,"",IF(COUNTIF($CB$4:CB88,CB87)&gt;=MAX($D$4:$D$8),CB87+2,CB87))</f>
        <v>#VALUE!</v>
      </c>
      <c r="CC89" s="1" t="e">
        <f t="shared" si="91"/>
        <v>#VALUE!</v>
      </c>
      <c r="CD89" s="8" t="str">
        <f t="shared" si="92"/>
        <v/>
      </c>
      <c r="CF89" s="71" t="e">
        <f t="shared" si="105"/>
        <v>#VALUE!</v>
      </c>
      <c r="CG89" s="71" t="str">
        <f>IF(OR(COUNTBLANK(CJ89)=1,ISERROR(CJ89)),"",COUNT($CJ$4:CJ89))</f>
        <v/>
      </c>
      <c r="CH89" s="7" t="e">
        <f t="shared" si="106"/>
        <v>#VALUE!</v>
      </c>
      <c r="CI89" s="1" t="str">
        <f t="shared" si="107"/>
        <v/>
      </c>
      <c r="CJ89" s="79" t="e">
        <f>IF(IF(COUNTIF($CJ$4:CJ88,CJ86)&gt;=MAX($D$4:$D$8),CJ86+3,CJ86)&gt;55,"",IF(COUNTIF($CJ$4:CJ88,CJ86)&gt;=MAX($D$4:$D$8),CJ86+3,CJ86))</f>
        <v>#VALUE!</v>
      </c>
      <c r="CK89" s="1" t="e">
        <f t="shared" si="93"/>
        <v>#VALUE!</v>
      </c>
      <c r="CL89" s="8" t="str">
        <f t="shared" si="108"/>
        <v/>
      </c>
      <c r="CN89" s="71" t="e">
        <f t="shared" si="99"/>
        <v>#VALUE!</v>
      </c>
      <c r="CO89" s="71" t="str">
        <f>IF(OR(COUNTBLANK(CR89)=1,ISERROR(CR89)),"",COUNT($CR$4:CR89))</f>
        <v/>
      </c>
      <c r="CP89" s="7" t="e">
        <f t="shared" si="100"/>
        <v>#VALUE!</v>
      </c>
      <c r="CQ89" s="1" t="str">
        <f t="shared" si="101"/>
        <v/>
      </c>
      <c r="CR89" s="79" t="e">
        <f>IF(IF(COUNTIF($CR$4:CR88,CR85)&gt;=MAX($D$4:$D$8),CR85+4,CR85)&gt;55,"",IF(COUNTIF($CR$4:CR88,CR85)&gt;=MAX($D$4:$D$8),CR85+4,CR85))</f>
        <v>#VALUE!</v>
      </c>
      <c r="CS89" s="1" t="e">
        <f t="shared" si="94"/>
        <v>#VALUE!</v>
      </c>
      <c r="CT89" s="8" t="str">
        <f t="shared" si="102"/>
        <v/>
      </c>
      <c r="CV89" s="71" t="e">
        <f t="shared" si="109"/>
        <v>#VALUE!</v>
      </c>
      <c r="CW89" s="71" t="str">
        <f>IF(OR(COUNTBLANK(CZ89)=1,ISERROR(CZ89)),"",COUNT($CZ$4:CZ89))</f>
        <v/>
      </c>
      <c r="CX89" s="7" t="e">
        <f t="shared" si="110"/>
        <v>#VALUE!</v>
      </c>
      <c r="CY89" s="1" t="str">
        <f t="shared" si="111"/>
        <v/>
      </c>
      <c r="CZ89" s="79" t="e">
        <f>IF(IF(COUNTIF($CZ$4:CZ88,CZ84)&gt;=MAX($D$4:$D$8),CZ84+5,CZ84)&gt;55,"",IF(COUNTIF($CZ$4:CZ88,CZ84)&gt;=MAX($D$4:$D$8),CZ84+5,CZ84))</f>
        <v>#VALUE!</v>
      </c>
      <c r="DA89" s="1" t="e">
        <f t="shared" si="95"/>
        <v>#VALUE!</v>
      </c>
      <c r="DB89" s="8" t="str">
        <f t="shared" si="112"/>
        <v/>
      </c>
    </row>
    <row r="90" spans="5:106" x14ac:dyDescent="0.15">
      <c r="E90" s="1">
        <v>87</v>
      </c>
      <c r="F90" s="1">
        <f t="shared" si="96"/>
        <v>1</v>
      </c>
      <c r="G90" s="1">
        <f t="shared" si="103"/>
        <v>1</v>
      </c>
      <c r="H90" s="1">
        <f t="shared" si="97"/>
        <v>1</v>
      </c>
      <c r="I90" s="1">
        <f t="shared" si="98"/>
        <v>1</v>
      </c>
      <c r="J90" s="1">
        <f t="shared" si="104"/>
        <v>1</v>
      </c>
      <c r="L90" s="1" t="str">
        <f>IF(ISERROR(HLOOKUP($C$10,$F$3:$J$253,88,0)),"",HLOOKUP($C$10,$F$3:$J$253,88,0))</f>
        <v/>
      </c>
      <c r="W90" s="71" t="e">
        <f>IF(AA90="","",AA90*10+2)</f>
        <v>#VALUE!</v>
      </c>
      <c r="X90" s="71" t="str">
        <f>IF(OR(COUNTBLANK(AA90)=1,ISERROR(AA90)),"",COUNT(AA4:AA90))</f>
        <v/>
      </c>
      <c r="Y90" s="7" t="e">
        <f t="shared" si="69"/>
        <v>#VALUE!</v>
      </c>
      <c r="Z90" s="1" t="str">
        <f t="shared" si="83"/>
        <v/>
      </c>
      <c r="AA90" s="79" t="e">
        <f>IF(IF(COUNTIF(AA4:AA89,AA89)&gt;=MAX(D4:D8),AA89+1,AA89)&gt;50,"",IF(COUNTIF(AA4:AA89,AA89)&gt;=MAX(D4:D8),AA89+1,AA89))</f>
        <v>#VALUE!</v>
      </c>
      <c r="AB90" s="1" t="e">
        <f>IF(AA90="","",VLOOKUP(AA90,S4:U53,3,0))</f>
        <v>#VALUE!</v>
      </c>
      <c r="AC90" s="8" t="str">
        <f t="shared" si="70"/>
        <v/>
      </c>
      <c r="AE90" s="71" t="e">
        <f t="shared" si="71"/>
        <v>#VALUE!</v>
      </c>
      <c r="AF90" s="71" t="str">
        <f>IF(OR(COUNTBLANK(AI90)=1,ISERROR(AI90)),"",COUNT(AI4:AI90))</f>
        <v/>
      </c>
      <c r="AG90" s="7" t="e">
        <f t="shared" si="72"/>
        <v>#VALUE!</v>
      </c>
      <c r="AH90" s="1" t="str">
        <f>IF(ISERROR(INDEX(C4:C8,MATCH(G90,D4:D8,0))),"",INDEX(C4:C8,MATCH(G90,D4:D8,0)))</f>
        <v/>
      </c>
      <c r="AI90" s="79" t="e">
        <f>IF(IF(COUNTIF(AI4:AI89,AI88)&gt;=MAX(D4:D8),AI88+2,AI88)&gt;50,"",IF(COUNTIF(AI4:AI89,AI88)&gt;=MAX(D4:D8),AI88+2,AI88))</f>
        <v>#VALUE!</v>
      </c>
      <c r="AJ90" s="1" t="e">
        <f>IF(AI90="","",VLOOKUP(AI90,S4:U53,3,0))</f>
        <v>#VALUE!</v>
      </c>
      <c r="AK90" s="8" t="str">
        <f t="shared" si="73"/>
        <v/>
      </c>
      <c r="AM90" s="71" t="e">
        <f t="shared" si="74"/>
        <v>#VALUE!</v>
      </c>
      <c r="AN90" s="71" t="str">
        <f>IF(OR(COUNTBLANK(AQ90)=1,ISERROR(AQ90)),"",COUNT(AQ4:AQ90))</f>
        <v/>
      </c>
      <c r="AO90" s="7" t="e">
        <f t="shared" si="75"/>
        <v>#VALUE!</v>
      </c>
      <c r="AP90" s="1" t="str">
        <f>IF(ISERROR(INDEX(C4:C8,MATCH(H90,D4:D8,0))),"",INDEX(C4:C8,MATCH(H90,D4:D8,0)))</f>
        <v/>
      </c>
      <c r="AQ90" s="79" t="e">
        <f>IF(IF(COUNTIF(AQ4:AQ89,AQ87)&gt;=MAX(D4:D8),AQ87+3,AQ87)&gt;50,"",IF(COUNTIF(AQ4:AQ89,AQ87)&gt;=MAX(D4:D8),AQ87+3,AQ87))</f>
        <v>#VALUE!</v>
      </c>
      <c r="AR90" s="1" t="e">
        <f>IF(AQ90="","",VLOOKUP(AQ90,S4:U53,3,0))</f>
        <v>#VALUE!</v>
      </c>
      <c r="AS90" s="8" t="str">
        <f t="shared" si="76"/>
        <v/>
      </c>
      <c r="AU90" s="71" t="e">
        <f t="shared" si="77"/>
        <v>#VALUE!</v>
      </c>
      <c r="AV90" s="71" t="str">
        <f>IF(OR(COUNTBLANK(AY90)=1,ISERROR(AY90)),"",COUNT(AY4:AY90))</f>
        <v/>
      </c>
      <c r="AW90" s="7" t="e">
        <f t="shared" si="78"/>
        <v>#VALUE!</v>
      </c>
      <c r="AX90" s="1" t="str">
        <f>IF(ISERROR(INDEX(C4:C8,MATCH(I90,D4:D8,0))),"",INDEX(C4:C8,MATCH(I90,D4:D8,0)))</f>
        <v/>
      </c>
      <c r="AY90" s="79" t="e">
        <f>IF(IF(COUNTIF(AY4:AY89,AY86)&gt;=MAX(D4:D8),AY86+4,AY86)&gt;50,"",IF(COUNTIF(AY4:AY89,AY86)&gt;=MAX(D4:D8),AY86+4,AY86))</f>
        <v>#VALUE!</v>
      </c>
      <c r="AZ90" s="76" t="e">
        <f>IF(AY90="","",VLOOKUP(AY90,S4:U53,3,0))</f>
        <v>#VALUE!</v>
      </c>
      <c r="BA90" s="8" t="str">
        <f t="shared" si="79"/>
        <v/>
      </c>
      <c r="BC90" s="71" t="e">
        <f t="shared" si="80"/>
        <v>#VALUE!</v>
      </c>
      <c r="BD90" s="71" t="str">
        <f>IF(OR(COUNTBLANK(BG90)=1,ISERROR(BG90)),"",COUNT(BG4:BG90))</f>
        <v/>
      </c>
      <c r="BE90" s="7" t="e">
        <f t="shared" si="81"/>
        <v>#VALUE!</v>
      </c>
      <c r="BF90" s="1" t="str">
        <f>IF(ISERROR(INDEX(C4:C8,MATCH(J90,D4:D8,0))),"",INDEX(C4:C8,MATCH(J90,D4:D8,0)))</f>
        <v/>
      </c>
      <c r="BG90" s="79" t="e">
        <f>IF(IF(COUNTIF(BG4:BG89,BG85)&gt;=MAX(D4:D8),BG85+5,BG85)&gt;50,"",IF(COUNTIF(BG4:BG89,BG85)&gt;=MAX(D4:D8),BG85+5,BG85))</f>
        <v>#VALUE!</v>
      </c>
      <c r="BH90" s="76" t="e">
        <f>IF(BG90="","",VLOOKUP(BG90,S4:U53,3,0))</f>
        <v>#VALUE!</v>
      </c>
      <c r="BI90" s="8" t="str">
        <f t="shared" si="82"/>
        <v/>
      </c>
      <c r="BP90" s="71" t="e">
        <f>IF(BT90="","",BT90*10+2)</f>
        <v>#VALUE!</v>
      </c>
      <c r="BQ90" s="71" t="str">
        <f>IF(OR(COUNTBLANK(BT90)=1,ISERROR(BT90)),"",COUNT(BT4:BT90))</f>
        <v/>
      </c>
      <c r="BR90" s="7" t="e">
        <f t="shared" si="84"/>
        <v>#VALUE!</v>
      </c>
      <c r="BS90" s="1" t="str">
        <f t="shared" si="85"/>
        <v/>
      </c>
      <c r="BT90" s="79" t="e">
        <f>IF(IF(COUNTIF($BT$4:BT89,BT89)&gt;=MAX($D$4:$D$8),BT89+1,BT89)&gt;55,"",IF(COUNTIF($BT$4:BT89,BT89)&gt;=MAX($D$4:$D$8),BT89+1,BT89))</f>
        <v>#VALUE!</v>
      </c>
      <c r="BU90" s="1" t="e">
        <f t="shared" si="86"/>
        <v>#VALUE!</v>
      </c>
      <c r="BV90" s="8" t="str">
        <f t="shared" si="87"/>
        <v/>
      </c>
      <c r="BX90" s="71" t="e">
        <f t="shared" si="88"/>
        <v>#VALUE!</v>
      </c>
      <c r="BY90" s="71" t="str">
        <f>IF(OR(COUNTBLANK(CB90)=1,ISERROR(CB90)),"",COUNT($CB$4:CB90))</f>
        <v/>
      </c>
      <c r="BZ90" s="7" t="e">
        <f t="shared" si="89"/>
        <v>#VALUE!</v>
      </c>
      <c r="CA90" s="1" t="str">
        <f t="shared" si="90"/>
        <v/>
      </c>
      <c r="CB90" s="79" t="e">
        <f>IF(IF(COUNTIF($CB$4:CB89,CB88)&gt;=MAX($D$4:$D$8),CB88+2,CB88)&gt;55,"",IF(COUNTIF($CB$4:CB89,CB88)&gt;=MAX($D$4:$D$8),CB88+2,CB88))</f>
        <v>#VALUE!</v>
      </c>
      <c r="CC90" s="1" t="e">
        <f t="shared" si="91"/>
        <v>#VALUE!</v>
      </c>
      <c r="CD90" s="8" t="str">
        <f t="shared" si="92"/>
        <v/>
      </c>
      <c r="CF90" s="71" t="e">
        <f t="shared" si="105"/>
        <v>#VALUE!</v>
      </c>
      <c r="CG90" s="71" t="str">
        <f>IF(OR(COUNTBLANK(CJ90)=1,ISERROR(CJ90)),"",COUNT($CJ$4:CJ90))</f>
        <v/>
      </c>
      <c r="CH90" s="7" t="e">
        <f t="shared" si="106"/>
        <v>#VALUE!</v>
      </c>
      <c r="CI90" s="1" t="str">
        <f t="shared" si="107"/>
        <v/>
      </c>
      <c r="CJ90" s="79" t="e">
        <f>IF(IF(COUNTIF($CJ$4:CJ89,CJ87)&gt;=MAX($D$4:$D$8),CJ87+3,CJ87)&gt;55,"",IF(COUNTIF($CJ$4:CJ89,CJ87)&gt;=MAX($D$4:$D$8),CJ87+3,CJ87))</f>
        <v>#VALUE!</v>
      </c>
      <c r="CK90" s="1" t="e">
        <f t="shared" si="93"/>
        <v>#VALUE!</v>
      </c>
      <c r="CL90" s="8" t="str">
        <f t="shared" si="108"/>
        <v/>
      </c>
      <c r="CN90" s="71" t="e">
        <f t="shared" si="99"/>
        <v>#VALUE!</v>
      </c>
      <c r="CO90" s="71" t="str">
        <f>IF(OR(COUNTBLANK(CR90)=1,ISERROR(CR90)),"",COUNT($CR$4:CR90))</f>
        <v/>
      </c>
      <c r="CP90" s="7" t="e">
        <f t="shared" si="100"/>
        <v>#VALUE!</v>
      </c>
      <c r="CQ90" s="1" t="str">
        <f t="shared" si="101"/>
        <v/>
      </c>
      <c r="CR90" s="79" t="e">
        <f>IF(IF(COUNTIF($CR$4:CR89,CR86)&gt;=MAX($D$4:$D$8),CR86+4,CR86)&gt;55,"",IF(COUNTIF($CR$4:CR89,CR86)&gt;=MAX($D$4:$D$8),CR86+4,CR86))</f>
        <v>#VALUE!</v>
      </c>
      <c r="CS90" s="1" t="e">
        <f t="shared" si="94"/>
        <v>#VALUE!</v>
      </c>
      <c r="CT90" s="8" t="str">
        <f t="shared" si="102"/>
        <v/>
      </c>
      <c r="CV90" s="71" t="e">
        <f t="shared" si="109"/>
        <v>#VALUE!</v>
      </c>
      <c r="CW90" s="71" t="str">
        <f>IF(OR(COUNTBLANK(CZ90)=1,ISERROR(CZ90)),"",COUNT($CZ$4:CZ90))</f>
        <v/>
      </c>
      <c r="CX90" s="7" t="e">
        <f t="shared" si="110"/>
        <v>#VALUE!</v>
      </c>
      <c r="CY90" s="1" t="str">
        <f t="shared" si="111"/>
        <v/>
      </c>
      <c r="CZ90" s="79" t="e">
        <f>IF(IF(COUNTIF($CZ$4:CZ89,CZ85)&gt;=MAX($D$4:$D$8),CZ85+5,CZ85)&gt;55,"",IF(COUNTIF($CZ$4:CZ89,CZ85)&gt;=MAX($D$4:$D$8),CZ85+5,CZ85))</f>
        <v>#VALUE!</v>
      </c>
      <c r="DA90" s="1" t="e">
        <f t="shared" si="95"/>
        <v>#VALUE!</v>
      </c>
      <c r="DB90" s="8" t="str">
        <f t="shared" si="112"/>
        <v/>
      </c>
    </row>
    <row r="91" spans="5:106" x14ac:dyDescent="0.15">
      <c r="E91" s="1">
        <v>88</v>
      </c>
      <c r="F91" s="1">
        <f t="shared" si="96"/>
        <v>1</v>
      </c>
      <c r="G91" s="1">
        <f t="shared" si="103"/>
        <v>1</v>
      </c>
      <c r="H91" s="1">
        <f t="shared" si="97"/>
        <v>1</v>
      </c>
      <c r="I91" s="1">
        <f t="shared" si="98"/>
        <v>1</v>
      </c>
      <c r="J91" s="1">
        <f t="shared" si="104"/>
        <v>1</v>
      </c>
      <c r="L91" s="1" t="str">
        <f>IF(ISERROR(HLOOKUP($C$10,$F$3:$J$253,89,0)),"",HLOOKUP($C$10,$F$3:$J$253,89,0))</f>
        <v/>
      </c>
      <c r="W91" s="71" t="e">
        <f>IF(AA91="","",AA91*10+3)</f>
        <v>#VALUE!</v>
      </c>
      <c r="X91" s="71" t="str">
        <f>IF(OR(COUNTBLANK(AA91)=1,ISERROR(AA91)),"",COUNT(AA4:AA91))</f>
        <v/>
      </c>
      <c r="Y91" s="7" t="e">
        <f t="shared" si="69"/>
        <v>#VALUE!</v>
      </c>
      <c r="Z91" s="1" t="str">
        <f t="shared" si="83"/>
        <v/>
      </c>
      <c r="AA91" s="79" t="e">
        <f>IF(IF(COUNTIF(AA4:AA90,AA90)&gt;=MAX(D4:D8),AA90+1,AA90)&gt;50,"",IF(COUNTIF(AA4:AA90,AA90)&gt;=MAX(D4:D8),AA90+1,AA90))</f>
        <v>#VALUE!</v>
      </c>
      <c r="AB91" s="1" t="e">
        <f>IF(AA91="","",VLOOKUP(AA91,S4:U53,3,0))</f>
        <v>#VALUE!</v>
      </c>
      <c r="AC91" s="8" t="str">
        <f t="shared" si="70"/>
        <v/>
      </c>
      <c r="AE91" s="71" t="e">
        <f t="shared" si="71"/>
        <v>#VALUE!</v>
      </c>
      <c r="AF91" s="71" t="str">
        <f>IF(OR(COUNTBLANK(AI91)=1,ISERROR(AI91)),"",COUNT(AI4:AI91))</f>
        <v/>
      </c>
      <c r="AG91" s="7" t="e">
        <f t="shared" si="72"/>
        <v>#VALUE!</v>
      </c>
      <c r="AH91" s="1" t="str">
        <f>IF(ISERROR(INDEX(C4:C8,MATCH(G91,D4:D8,0))),"",INDEX(C4:C8,MATCH(G91,D4:D8,0)))</f>
        <v/>
      </c>
      <c r="AI91" s="79" t="e">
        <f>IF(IF(COUNTIF(AI4:AI89,AI89)&gt;=MAX(D4:D8),AI89+2,AI89)&gt;50,"",IF(COUNTIF(AI4:AI89,AI89)&gt;=MAX(D4:D8),AI89+2,AI89))</f>
        <v>#VALUE!</v>
      </c>
      <c r="AJ91" s="1" t="e">
        <f>IF(AI91="","",VLOOKUP(AI91,S4:U53,3,0))</f>
        <v>#VALUE!</v>
      </c>
      <c r="AK91" s="8" t="str">
        <f t="shared" si="73"/>
        <v/>
      </c>
      <c r="AM91" s="71" t="e">
        <f t="shared" si="74"/>
        <v>#VALUE!</v>
      </c>
      <c r="AN91" s="71" t="str">
        <f>IF(OR(COUNTBLANK(AQ91)=1,ISERROR(AQ91)),"",COUNT(AQ4:AQ91))</f>
        <v/>
      </c>
      <c r="AO91" s="7" t="e">
        <f t="shared" si="75"/>
        <v>#VALUE!</v>
      </c>
      <c r="AP91" s="1" t="str">
        <f>IF(ISERROR(INDEX(C4:C8,MATCH(H91,D4:D8,0))),"",INDEX(C4:C8,MATCH(H91,D4:D8,0)))</f>
        <v/>
      </c>
      <c r="AQ91" s="79" t="e">
        <f>IF(IF(COUNTIF(AQ4:AQ90,AQ88)&gt;=MAX(D4:D8),AQ88+3,AQ88)&gt;50,"",IF(COUNTIF(AQ4:AQ90,AQ88)&gt;=MAX(D4:D8),AQ88+3,AQ88))</f>
        <v>#VALUE!</v>
      </c>
      <c r="AR91" s="1" t="e">
        <f>IF(AQ91="","",VLOOKUP(AQ91,S4:U53,3,0))</f>
        <v>#VALUE!</v>
      </c>
      <c r="AS91" s="8" t="str">
        <f t="shared" si="76"/>
        <v/>
      </c>
      <c r="AU91" s="71" t="e">
        <f t="shared" si="77"/>
        <v>#VALUE!</v>
      </c>
      <c r="AV91" s="71" t="str">
        <f>IF(OR(COUNTBLANK(AY91)=1,ISERROR(AY91)),"",COUNT(AY4:AY91))</f>
        <v/>
      </c>
      <c r="AW91" s="7" t="e">
        <f t="shared" si="78"/>
        <v>#VALUE!</v>
      </c>
      <c r="AX91" s="1" t="str">
        <f>IF(ISERROR(INDEX(C4:C8,MATCH(I91,D4:D8,0))),"",INDEX(C4:C8,MATCH(I91,D4:D8,0)))</f>
        <v/>
      </c>
      <c r="AY91" s="79" t="e">
        <f>IF(IF(COUNTIF(AY4:AY90,AY87)&gt;=MAX(D4:D8),AY87+4,AY87)&gt;50,"",IF(COUNTIF(AY4:AY90,AY87)&gt;=MAX(D4:D8),AY87+4,AY87))</f>
        <v>#VALUE!</v>
      </c>
      <c r="AZ91" s="76" t="e">
        <f>IF(AY91="","",VLOOKUP(AY91,S4:U53,3,0))</f>
        <v>#VALUE!</v>
      </c>
      <c r="BA91" s="8" t="str">
        <f t="shared" si="79"/>
        <v/>
      </c>
      <c r="BC91" s="71" t="e">
        <f t="shared" si="80"/>
        <v>#VALUE!</v>
      </c>
      <c r="BD91" s="71" t="str">
        <f>IF(OR(COUNTBLANK(BG91)=1,ISERROR(BG91)),"",COUNT(BG4:BG91))</f>
        <v/>
      </c>
      <c r="BE91" s="7" t="e">
        <f t="shared" si="81"/>
        <v>#VALUE!</v>
      </c>
      <c r="BF91" s="1" t="str">
        <f>IF(ISERROR(INDEX(C4:C8,MATCH(J91,D4:D8,0))),"",INDEX(C4:C8,MATCH(J91,D4:D8,0)))</f>
        <v/>
      </c>
      <c r="BG91" s="79" t="e">
        <f>IF(IF(COUNTIF(BG4:BG90,BG86)&gt;=MAX(D4:D8),BG86+5,BG86)&gt;50,"",IF(COUNTIF(BG4:BG90,BG86)&gt;=MAX(D4:D8),BG86+5,BG86))</f>
        <v>#VALUE!</v>
      </c>
      <c r="BH91" s="76" t="e">
        <f>IF(BG91="","",VLOOKUP(BG91,S4:U53,3,0))</f>
        <v>#VALUE!</v>
      </c>
      <c r="BI91" s="8" t="str">
        <f t="shared" si="82"/>
        <v/>
      </c>
      <c r="BP91" s="71" t="e">
        <f>IF(BT91="","",BT91*10+3)</f>
        <v>#VALUE!</v>
      </c>
      <c r="BQ91" s="71" t="str">
        <f>IF(OR(COUNTBLANK(BT91)=1,ISERROR(BT91)),"",COUNT(BT4:BT91))</f>
        <v/>
      </c>
      <c r="BR91" s="7" t="e">
        <f t="shared" si="84"/>
        <v>#VALUE!</v>
      </c>
      <c r="BS91" s="1" t="str">
        <f t="shared" si="85"/>
        <v/>
      </c>
      <c r="BT91" s="79" t="e">
        <f>IF(IF(COUNTIF($BT$4:BT90,BT90)&gt;=MAX($D$4:$D$8),BT90+1,BT90)&gt;55,"",IF(COUNTIF($BT$4:BT90,BT90)&gt;=MAX($D$4:$D$8),BT90+1,BT90))</f>
        <v>#VALUE!</v>
      </c>
      <c r="BU91" s="1" t="e">
        <f t="shared" si="86"/>
        <v>#VALUE!</v>
      </c>
      <c r="BV91" s="8" t="str">
        <f t="shared" si="87"/>
        <v/>
      </c>
      <c r="BX91" s="71" t="e">
        <f t="shared" si="88"/>
        <v>#VALUE!</v>
      </c>
      <c r="BY91" s="71" t="str">
        <f>IF(OR(COUNTBLANK(CB91)=1,ISERROR(CB91)),"",COUNT($CB$4:CB91))</f>
        <v/>
      </c>
      <c r="BZ91" s="7" t="e">
        <f t="shared" si="89"/>
        <v>#VALUE!</v>
      </c>
      <c r="CA91" s="1" t="str">
        <f t="shared" si="90"/>
        <v/>
      </c>
      <c r="CB91" s="79" t="e">
        <f>IF(IF(COUNTIF($CB$4:CB90,CB89)&gt;=MAX($D$4:$D$8),CB89+2,CB89)&gt;55,"",IF(COUNTIF($CB$4:CB90,CB89)&gt;=MAX($D$4:$D$8),CB89+2,CB89))</f>
        <v>#VALUE!</v>
      </c>
      <c r="CC91" s="1" t="e">
        <f t="shared" si="91"/>
        <v>#VALUE!</v>
      </c>
      <c r="CD91" s="8" t="str">
        <f t="shared" si="92"/>
        <v/>
      </c>
      <c r="CF91" s="71" t="e">
        <f t="shared" si="105"/>
        <v>#VALUE!</v>
      </c>
      <c r="CG91" s="71" t="str">
        <f>IF(OR(COUNTBLANK(CJ91)=1,ISERROR(CJ91)),"",COUNT($CJ$4:CJ91))</f>
        <v/>
      </c>
      <c r="CH91" s="7" t="e">
        <f t="shared" si="106"/>
        <v>#VALUE!</v>
      </c>
      <c r="CI91" s="1" t="str">
        <f t="shared" si="107"/>
        <v/>
      </c>
      <c r="CJ91" s="79" t="e">
        <f>IF(IF(COUNTIF($CJ$4:CJ90,CJ88)&gt;=MAX($D$4:$D$8),CJ88+3,CJ88)&gt;55,"",IF(COUNTIF($CJ$4:CJ90,CJ88)&gt;=MAX($D$4:$D$8),CJ88+3,CJ88))</f>
        <v>#VALUE!</v>
      </c>
      <c r="CK91" s="1" t="e">
        <f t="shared" si="93"/>
        <v>#VALUE!</v>
      </c>
      <c r="CL91" s="8" t="str">
        <f t="shared" si="108"/>
        <v/>
      </c>
      <c r="CN91" s="71" t="e">
        <f t="shared" si="99"/>
        <v>#VALUE!</v>
      </c>
      <c r="CO91" s="71" t="str">
        <f>IF(OR(COUNTBLANK(CR91)=1,ISERROR(CR91)),"",COUNT($CR$4:CR91))</f>
        <v/>
      </c>
      <c r="CP91" s="7" t="e">
        <f t="shared" si="100"/>
        <v>#VALUE!</v>
      </c>
      <c r="CQ91" s="1" t="str">
        <f t="shared" si="101"/>
        <v/>
      </c>
      <c r="CR91" s="79" t="e">
        <f>IF(IF(COUNTIF($CR$4:CR90,CR87)&gt;=MAX($D$4:$D$8),CR87+4,CR87)&gt;55,"",IF(COUNTIF($CR$4:CR90,CR87)&gt;=MAX($D$4:$D$8),CR87+4,CR87))</f>
        <v>#VALUE!</v>
      </c>
      <c r="CS91" s="1" t="e">
        <f t="shared" si="94"/>
        <v>#VALUE!</v>
      </c>
      <c r="CT91" s="8" t="str">
        <f t="shared" si="102"/>
        <v/>
      </c>
      <c r="CV91" s="71" t="e">
        <f t="shared" si="109"/>
        <v>#VALUE!</v>
      </c>
      <c r="CW91" s="71" t="str">
        <f>IF(OR(COUNTBLANK(CZ91)=1,ISERROR(CZ91)),"",COUNT($CZ$4:CZ91))</f>
        <v/>
      </c>
      <c r="CX91" s="7" t="e">
        <f t="shared" si="110"/>
        <v>#VALUE!</v>
      </c>
      <c r="CY91" s="1" t="str">
        <f t="shared" si="111"/>
        <v/>
      </c>
      <c r="CZ91" s="79" t="e">
        <f>IF(IF(COUNTIF($CZ$4:CZ90,CZ86)&gt;=MAX($D$4:$D$8),CZ86+5,CZ86)&gt;55,"",IF(COUNTIF($CZ$4:CZ90,CZ86)&gt;=MAX($D$4:$D$8),CZ86+5,CZ86))</f>
        <v>#VALUE!</v>
      </c>
      <c r="DA91" s="1" t="e">
        <f t="shared" si="95"/>
        <v>#VALUE!</v>
      </c>
      <c r="DB91" s="8" t="str">
        <f t="shared" si="112"/>
        <v/>
      </c>
    </row>
    <row r="92" spans="5:106" x14ac:dyDescent="0.15">
      <c r="E92" s="1">
        <v>89</v>
      </c>
      <c r="F92" s="1">
        <f t="shared" si="96"/>
        <v>1</v>
      </c>
      <c r="G92" s="1">
        <f t="shared" si="103"/>
        <v>1</v>
      </c>
      <c r="H92" s="1">
        <f t="shared" si="97"/>
        <v>1</v>
      </c>
      <c r="I92" s="1">
        <f t="shared" si="98"/>
        <v>1</v>
      </c>
      <c r="J92" s="1">
        <f t="shared" si="104"/>
        <v>1</v>
      </c>
      <c r="L92" s="1" t="str">
        <f>IF(ISERROR(HLOOKUP($C$10,$F$3:$J$253,90,0)),"",HLOOKUP($C$10,$F$3:$J$253,90,0))</f>
        <v/>
      </c>
      <c r="W92" s="71" t="e">
        <f>IF(AA92="","",AA92*10+4)</f>
        <v>#VALUE!</v>
      </c>
      <c r="X92" s="71" t="str">
        <f>IF(OR(COUNTBLANK(AA92)=1,ISERROR(AA92)),"",COUNT(AA4:AA92))</f>
        <v/>
      </c>
      <c r="Y92" s="7" t="e">
        <f t="shared" si="69"/>
        <v>#VALUE!</v>
      </c>
      <c r="Z92" s="1" t="str">
        <f t="shared" si="83"/>
        <v/>
      </c>
      <c r="AA92" s="79" t="e">
        <f>IF(IF(COUNTIF(AA4:AA91,AA91)&gt;=MAX(D4:D8),AA91+1,AA91)&gt;50,"",IF(COUNTIF(AA4:AA91,AA91)&gt;=MAX(D4:D8),AA91+1,AA91))</f>
        <v>#VALUE!</v>
      </c>
      <c r="AB92" s="1" t="e">
        <f>IF(AA92="","",VLOOKUP(AA92,S4:U53,3,0))</f>
        <v>#VALUE!</v>
      </c>
      <c r="AC92" s="8" t="str">
        <f t="shared" si="70"/>
        <v/>
      </c>
      <c r="AE92" s="71" t="e">
        <f t="shared" si="71"/>
        <v>#VALUE!</v>
      </c>
      <c r="AF92" s="71" t="str">
        <f>IF(OR(COUNTBLANK(AI92)=1,ISERROR(AI92)),"",COUNT(AI4:AI92))</f>
        <v/>
      </c>
      <c r="AG92" s="7" t="e">
        <f t="shared" si="72"/>
        <v>#VALUE!</v>
      </c>
      <c r="AH92" s="1" t="str">
        <f>IF(ISERROR(INDEX(C4:C8,MATCH(G92,D4:D8,0))),"",INDEX(C4:C8,MATCH(G92,D4:D8,0)))</f>
        <v/>
      </c>
      <c r="AI92" s="79" t="e">
        <f>IF(IF(COUNTIF(AI4:AI91,AI90)&gt;=MAX(D4:D8),AI90+2,AI90)&gt;50,"",IF(COUNTIF(AI4:AI91,AI90)&gt;=MAX(D4:D8),AI90+2,AI90))</f>
        <v>#VALUE!</v>
      </c>
      <c r="AJ92" s="1" t="e">
        <f>IF(AI92="","",VLOOKUP(AI92,S4:U53,3,0))</f>
        <v>#VALUE!</v>
      </c>
      <c r="AK92" s="8" t="str">
        <f t="shared" si="73"/>
        <v/>
      </c>
      <c r="AM92" s="71" t="e">
        <f t="shared" si="74"/>
        <v>#VALUE!</v>
      </c>
      <c r="AN92" s="71" t="str">
        <f>IF(OR(COUNTBLANK(AQ92)=1,ISERROR(AQ92)),"",COUNT(AQ4:AQ92))</f>
        <v/>
      </c>
      <c r="AO92" s="7" t="e">
        <f t="shared" si="75"/>
        <v>#VALUE!</v>
      </c>
      <c r="AP92" s="1" t="str">
        <f>IF(ISERROR(INDEX(C4:C8,MATCH(H92,D4:D8,0))),"",INDEX(C4:C8,MATCH(H92,D4:D8,0)))</f>
        <v/>
      </c>
      <c r="AQ92" s="79" t="e">
        <f>IF(IF(COUNTIF(AQ4:AQ91,AQ89)&gt;=MAX(D4:D8),AQ89+3,AQ89)&gt;50,"",IF(COUNTIF(AQ4:AQ91,AQ89)&gt;=MAX(D4:D8),AQ89+3,AQ89))</f>
        <v>#VALUE!</v>
      </c>
      <c r="AR92" s="1" t="e">
        <f>IF(AQ92="","",VLOOKUP(AQ92,S4:U53,3,0))</f>
        <v>#VALUE!</v>
      </c>
      <c r="AS92" s="8" t="str">
        <f t="shared" si="76"/>
        <v/>
      </c>
      <c r="AU92" s="71" t="e">
        <f t="shared" si="77"/>
        <v>#VALUE!</v>
      </c>
      <c r="AV92" s="71" t="str">
        <f>IF(OR(COUNTBLANK(AY92)=1,ISERROR(AY92)),"",COUNT(AY4:AY92))</f>
        <v/>
      </c>
      <c r="AW92" s="7" t="e">
        <f t="shared" si="78"/>
        <v>#VALUE!</v>
      </c>
      <c r="AX92" s="1" t="str">
        <f>IF(ISERROR(INDEX(C4:C8,MATCH(I92,D4:D8,0))),"",INDEX(C4:C8,MATCH(I92,D4:D8,0)))</f>
        <v/>
      </c>
      <c r="AY92" s="79" t="e">
        <f>IF(IF(COUNTIF(AY4:AY91,AY88)&gt;=MAX(D4:D8),AY88+4,AY88)&gt;50,"",IF(COUNTIF(AY4:AY91,AY88)&gt;=MAX(D4:D8),AY88+4,AY88))</f>
        <v>#VALUE!</v>
      </c>
      <c r="AZ92" s="76" t="e">
        <f>IF(AY92="","",VLOOKUP(AY92,S4:U53,3,0))</f>
        <v>#VALUE!</v>
      </c>
      <c r="BA92" s="8" t="str">
        <f t="shared" si="79"/>
        <v/>
      </c>
      <c r="BC92" s="71" t="e">
        <f t="shared" si="80"/>
        <v>#VALUE!</v>
      </c>
      <c r="BD92" s="71" t="str">
        <f>IF(OR(COUNTBLANK(BG92)=1,ISERROR(BG92)),"",COUNT(BG4:BG92))</f>
        <v/>
      </c>
      <c r="BE92" s="7" t="e">
        <f t="shared" si="81"/>
        <v>#VALUE!</v>
      </c>
      <c r="BF92" s="1" t="str">
        <f>IF(ISERROR(INDEX(C4:C8,MATCH(J92,D4:D8,0))),"",INDEX(C4:C8,MATCH(J92,D4:D8,0)))</f>
        <v/>
      </c>
      <c r="BG92" s="79" t="e">
        <f>IF(IF(COUNTIF(BG4:BG91,BG87)&gt;=MAX(D4:D8),BG87+5,BG87)&gt;50,"",IF(COUNTIF(BG4:BG91,BG87)&gt;=MAX(D4:D8),BG87+5,BG87))</f>
        <v>#VALUE!</v>
      </c>
      <c r="BH92" s="76" t="e">
        <f>IF(BG92="","",VLOOKUP(BG92,S4:U53,3,0))</f>
        <v>#VALUE!</v>
      </c>
      <c r="BI92" s="8" t="str">
        <f t="shared" si="82"/>
        <v/>
      </c>
      <c r="BP92" s="71" t="e">
        <f>IF(BT92="","",BT92*10+4)</f>
        <v>#VALUE!</v>
      </c>
      <c r="BQ92" s="71" t="str">
        <f>IF(OR(COUNTBLANK(BT92)=1,ISERROR(BT92)),"",COUNT(BT4:BT92))</f>
        <v/>
      </c>
      <c r="BR92" s="7" t="e">
        <f t="shared" si="84"/>
        <v>#VALUE!</v>
      </c>
      <c r="BS92" s="1" t="str">
        <f t="shared" si="85"/>
        <v/>
      </c>
      <c r="BT92" s="79" t="e">
        <f>IF(IF(COUNTIF($BT$4:BT91,BT91)&gt;=MAX($D$4:$D$8),BT91+1,BT91)&gt;55,"",IF(COUNTIF($BT$4:BT91,BT91)&gt;=MAX($D$4:$D$8),BT91+1,BT91))</f>
        <v>#VALUE!</v>
      </c>
      <c r="BU92" s="1" t="e">
        <f t="shared" si="86"/>
        <v>#VALUE!</v>
      </c>
      <c r="BV92" s="8" t="str">
        <f t="shared" si="87"/>
        <v/>
      </c>
      <c r="BX92" s="71" t="e">
        <f t="shared" si="88"/>
        <v>#VALUE!</v>
      </c>
      <c r="BY92" s="71" t="str">
        <f>IF(OR(COUNTBLANK(CB92)=1,ISERROR(CB92)),"",COUNT($CB$4:CB92))</f>
        <v/>
      </c>
      <c r="BZ92" s="7" t="e">
        <f t="shared" si="89"/>
        <v>#VALUE!</v>
      </c>
      <c r="CA92" s="1" t="str">
        <f t="shared" si="90"/>
        <v/>
      </c>
      <c r="CB92" s="79" t="e">
        <f>IF(IF(COUNTIF($CB$4:CB91,CB90)&gt;=MAX($D$4:$D$8),CB90+2,CB90)&gt;55,"",IF(COUNTIF($CB$4:CB91,CB90)&gt;=MAX($D$4:$D$8),CB90+2,CB90))</f>
        <v>#VALUE!</v>
      </c>
      <c r="CC92" s="1" t="e">
        <f t="shared" si="91"/>
        <v>#VALUE!</v>
      </c>
      <c r="CD92" s="8" t="str">
        <f t="shared" si="92"/>
        <v/>
      </c>
      <c r="CF92" s="71" t="e">
        <f t="shared" si="105"/>
        <v>#VALUE!</v>
      </c>
      <c r="CG92" s="71" t="str">
        <f>IF(OR(COUNTBLANK(CJ92)=1,ISERROR(CJ92)),"",COUNT($CJ$4:CJ92))</f>
        <v/>
      </c>
      <c r="CH92" s="7" t="e">
        <f t="shared" si="106"/>
        <v>#VALUE!</v>
      </c>
      <c r="CI92" s="1" t="str">
        <f t="shared" si="107"/>
        <v/>
      </c>
      <c r="CJ92" s="79" t="e">
        <f>IF(IF(COUNTIF($CJ$4:CJ91,CJ89)&gt;=MAX($D$4:$D$8),CJ89+3,CJ89)&gt;55,"",IF(COUNTIF($CJ$4:CJ91,CJ89)&gt;=MAX($D$4:$D$8),CJ89+3,CJ89))</f>
        <v>#VALUE!</v>
      </c>
      <c r="CK92" s="1" t="e">
        <f t="shared" si="93"/>
        <v>#VALUE!</v>
      </c>
      <c r="CL92" s="8" t="str">
        <f t="shared" si="108"/>
        <v/>
      </c>
      <c r="CN92" s="71" t="e">
        <f t="shared" si="99"/>
        <v>#VALUE!</v>
      </c>
      <c r="CO92" s="71" t="str">
        <f>IF(OR(COUNTBLANK(CR92)=1,ISERROR(CR92)),"",COUNT($CR$4:CR92))</f>
        <v/>
      </c>
      <c r="CP92" s="7" t="e">
        <f t="shared" si="100"/>
        <v>#VALUE!</v>
      </c>
      <c r="CQ92" s="1" t="str">
        <f t="shared" si="101"/>
        <v/>
      </c>
      <c r="CR92" s="79" t="e">
        <f>IF(IF(COUNTIF($CR$4:CR91,CR88)&gt;=MAX($D$4:$D$8),CR88+4,CR88)&gt;55,"",IF(COUNTIF($CR$4:CR91,CR88)&gt;=MAX($D$4:$D$8),CR88+4,CR88))</f>
        <v>#VALUE!</v>
      </c>
      <c r="CS92" s="1" t="e">
        <f t="shared" si="94"/>
        <v>#VALUE!</v>
      </c>
      <c r="CT92" s="8" t="str">
        <f t="shared" si="102"/>
        <v/>
      </c>
      <c r="CV92" s="71" t="e">
        <f t="shared" si="109"/>
        <v>#VALUE!</v>
      </c>
      <c r="CW92" s="71" t="str">
        <f>IF(OR(COUNTBLANK(CZ92)=1,ISERROR(CZ92)),"",COUNT($CZ$4:CZ92))</f>
        <v/>
      </c>
      <c r="CX92" s="7" t="e">
        <f t="shared" si="110"/>
        <v>#VALUE!</v>
      </c>
      <c r="CY92" s="1" t="str">
        <f t="shared" si="111"/>
        <v/>
      </c>
      <c r="CZ92" s="79" t="e">
        <f>IF(IF(COUNTIF($CZ$4:CZ91,CZ87)&gt;=MAX($D$4:$D$8),CZ87+5,CZ87)&gt;55,"",IF(COUNTIF($CZ$4:CZ91,CZ87)&gt;=MAX($D$4:$D$8),CZ87+5,CZ87))</f>
        <v>#VALUE!</v>
      </c>
      <c r="DA92" s="1" t="e">
        <f t="shared" si="95"/>
        <v>#VALUE!</v>
      </c>
      <c r="DB92" s="8" t="str">
        <f t="shared" si="112"/>
        <v/>
      </c>
    </row>
    <row r="93" spans="5:106" x14ac:dyDescent="0.15">
      <c r="E93" s="1">
        <v>90</v>
      </c>
      <c r="F93" s="1">
        <f t="shared" si="96"/>
        <v>1</v>
      </c>
      <c r="G93" s="1">
        <f t="shared" si="103"/>
        <v>1</v>
      </c>
      <c r="H93" s="1">
        <f t="shared" si="97"/>
        <v>1</v>
      </c>
      <c r="I93" s="1">
        <f t="shared" si="98"/>
        <v>1</v>
      </c>
      <c r="J93" s="1">
        <f t="shared" si="104"/>
        <v>1</v>
      </c>
      <c r="L93" s="1" t="str">
        <f>IF(ISERROR(HLOOKUP($C$10,$F$3:$J$253,91,0)),"",HLOOKUP($C$10,$F$3:$J$253,91,0))</f>
        <v/>
      </c>
      <c r="W93" s="71" t="e">
        <f>IF(AA93="","",AA93*10+5)</f>
        <v>#VALUE!</v>
      </c>
      <c r="X93" s="71" t="str">
        <f>IF(OR(COUNTBLANK(AA93)=1,ISERROR(AA93)),"",COUNT(AA4:AA93))</f>
        <v/>
      </c>
      <c r="Y93" s="7" t="e">
        <f t="shared" si="69"/>
        <v>#VALUE!</v>
      </c>
      <c r="Z93" s="1" t="str">
        <f t="shared" si="83"/>
        <v/>
      </c>
      <c r="AA93" s="79" t="e">
        <f>IF(IF(COUNTIF(AA4:AA92,AA92)&gt;=MAX(D4:D8),AA92+1,AA92)&gt;50,"",IF(COUNTIF(AA4:AA92,AA92)&gt;=MAX(D4:D8),AA92+1,AA92))</f>
        <v>#VALUE!</v>
      </c>
      <c r="AB93" s="1" t="e">
        <f>IF(AA93="","",VLOOKUP(AA93,S4:U53,3,0))</f>
        <v>#VALUE!</v>
      </c>
      <c r="AC93" s="8" t="str">
        <f t="shared" si="70"/>
        <v/>
      </c>
      <c r="AE93" s="71" t="e">
        <f t="shared" si="71"/>
        <v>#VALUE!</v>
      </c>
      <c r="AF93" s="71" t="str">
        <f>IF(OR(COUNTBLANK(AI93)=1,ISERROR(AI93)),"",COUNT(AI4:AI93))</f>
        <v/>
      </c>
      <c r="AG93" s="7" t="e">
        <f t="shared" si="72"/>
        <v>#VALUE!</v>
      </c>
      <c r="AH93" s="1" t="str">
        <f>IF(ISERROR(INDEX(C4:C8,MATCH(G93,D4:D8,0))),"",INDEX(C4:C8,MATCH(G93,D4:D8,0)))</f>
        <v/>
      </c>
      <c r="AI93" s="79" t="e">
        <f>IF(IF(COUNTIF(AI4:AI91,AI91)&gt;=MAX(D4:D8),AI91+2,AI91)&gt;50,"",IF(COUNTIF(AI4:AI91,AI91)&gt;=MAX(D4:D8),AI91+2,AI91))</f>
        <v>#VALUE!</v>
      </c>
      <c r="AJ93" s="1" t="e">
        <f>IF(AI93="","",VLOOKUP(AI93,S4:U53,3,0))</f>
        <v>#VALUE!</v>
      </c>
      <c r="AK93" s="8" t="str">
        <f t="shared" si="73"/>
        <v/>
      </c>
      <c r="AM93" s="71" t="e">
        <f t="shared" si="74"/>
        <v>#VALUE!</v>
      </c>
      <c r="AN93" s="71" t="str">
        <f>IF(OR(COUNTBLANK(AQ93)=1,ISERROR(AQ93)),"",COUNT(AQ4:AQ93))</f>
        <v/>
      </c>
      <c r="AO93" s="7" t="e">
        <f t="shared" si="75"/>
        <v>#VALUE!</v>
      </c>
      <c r="AP93" s="1" t="str">
        <f>IF(ISERROR(INDEX(C4:C8,MATCH(H93,D4:D8,0))),"",INDEX(C4:C8,MATCH(H93,D4:D8,0)))</f>
        <v/>
      </c>
      <c r="AQ93" s="79" t="e">
        <f>IF(IF(COUNTIF(AQ4:AQ92,AQ90)&gt;=MAX(D4:D8),AQ90+3,AQ90)&gt;50,"",IF(COUNTIF(AQ4:AQ92,AQ90)&gt;=MAX(D4:D8),AQ90+3,AQ90))</f>
        <v>#VALUE!</v>
      </c>
      <c r="AR93" s="1" t="e">
        <f>IF(AQ93="","",VLOOKUP(AQ93,S4:U53,3,0))</f>
        <v>#VALUE!</v>
      </c>
      <c r="AS93" s="8" t="str">
        <f t="shared" si="76"/>
        <v/>
      </c>
      <c r="AU93" s="71" t="e">
        <f t="shared" si="77"/>
        <v>#VALUE!</v>
      </c>
      <c r="AV93" s="71" t="str">
        <f>IF(OR(COUNTBLANK(AY93)=1,ISERROR(AY93)),"",COUNT(AY4:AY93))</f>
        <v/>
      </c>
      <c r="AW93" s="7" t="e">
        <f t="shared" si="78"/>
        <v>#VALUE!</v>
      </c>
      <c r="AX93" s="1" t="str">
        <f>IF(ISERROR(INDEX(C4:C8,MATCH(I93,D4:D8,0))),"",INDEX(C4:C8,MATCH(I93,D4:D8,0)))</f>
        <v/>
      </c>
      <c r="AY93" s="79" t="e">
        <f>IF(IF(COUNTIF(AY4:AY92,AY89)&gt;=MAX(D4:D8),AY89+4,AY89)&gt;50,"",IF(COUNTIF(AY4:AY92,AY89)&gt;=MAX(D4:D8),AY89+4,AY89))</f>
        <v>#VALUE!</v>
      </c>
      <c r="AZ93" s="76" t="e">
        <f>IF(AY93="","",VLOOKUP(AY93,S4:U53,3,0))</f>
        <v>#VALUE!</v>
      </c>
      <c r="BA93" s="8" t="str">
        <f t="shared" si="79"/>
        <v/>
      </c>
      <c r="BC93" s="71" t="e">
        <f t="shared" si="80"/>
        <v>#VALUE!</v>
      </c>
      <c r="BD93" s="71" t="str">
        <f>IF(OR(COUNTBLANK(BG93)=1,ISERROR(BG93)),"",COUNT(BG4:BG93))</f>
        <v/>
      </c>
      <c r="BE93" s="7" t="e">
        <f t="shared" si="81"/>
        <v>#VALUE!</v>
      </c>
      <c r="BF93" s="1" t="str">
        <f>IF(ISERROR(INDEX(C4:C8,MATCH(J93,D4:D8,0))),"",INDEX(C4:C8,MATCH(J93,D4:D8,0)))</f>
        <v/>
      </c>
      <c r="BG93" s="79" t="e">
        <f>IF(IF(COUNTIF(BG4:BG92,BG88)&gt;=MAX(D4:D8),BG88+5,BG88)&gt;50,"",IF(COUNTIF(BG4:BG92,BG88)&gt;=MAX(D4:D8),BG88+5,BG88))</f>
        <v>#VALUE!</v>
      </c>
      <c r="BH93" s="76" t="e">
        <f>IF(BG93="","",VLOOKUP(BG93,S4:U53,3,0))</f>
        <v>#VALUE!</v>
      </c>
      <c r="BI93" s="8" t="str">
        <f t="shared" si="82"/>
        <v/>
      </c>
      <c r="BP93" s="71" t="e">
        <f>IF(BT93="","",BT93*10+5)</f>
        <v>#VALUE!</v>
      </c>
      <c r="BQ93" s="71" t="str">
        <f>IF(OR(COUNTBLANK(BT93)=1,ISERROR(BT93)),"",COUNT(BT4:BT93))</f>
        <v/>
      </c>
      <c r="BR93" s="7" t="e">
        <f t="shared" si="84"/>
        <v>#VALUE!</v>
      </c>
      <c r="BS93" s="1" t="str">
        <f t="shared" si="85"/>
        <v/>
      </c>
      <c r="BT93" s="79" t="e">
        <f>IF(IF(COUNTIF($BT$4:BT92,BT92)&gt;=MAX($D$4:$D$8),BT92+1,BT92)&gt;55,"",IF(COUNTIF($BT$4:BT92,BT92)&gt;=MAX($D$4:$D$8),BT92+1,BT92))</f>
        <v>#VALUE!</v>
      </c>
      <c r="BU93" s="1" t="e">
        <f t="shared" si="86"/>
        <v>#VALUE!</v>
      </c>
      <c r="BV93" s="8" t="str">
        <f t="shared" si="87"/>
        <v/>
      </c>
      <c r="BX93" s="71" t="e">
        <f t="shared" si="88"/>
        <v>#VALUE!</v>
      </c>
      <c r="BY93" s="71" t="str">
        <f>IF(OR(COUNTBLANK(CB93)=1,ISERROR(CB93)),"",COUNT($CB$4:CB93))</f>
        <v/>
      </c>
      <c r="BZ93" s="7" t="e">
        <f t="shared" si="89"/>
        <v>#VALUE!</v>
      </c>
      <c r="CA93" s="1" t="str">
        <f t="shared" si="90"/>
        <v/>
      </c>
      <c r="CB93" s="79" t="e">
        <f>IF(IF(COUNTIF($CB$4:CB92,CB91)&gt;=MAX($D$4:$D$8),CB91+2,CB91)&gt;55,"",IF(COUNTIF($CB$4:CB92,CB91)&gt;=MAX($D$4:$D$8),CB91+2,CB91))</f>
        <v>#VALUE!</v>
      </c>
      <c r="CC93" s="1" t="e">
        <f t="shared" si="91"/>
        <v>#VALUE!</v>
      </c>
      <c r="CD93" s="8" t="str">
        <f t="shared" si="92"/>
        <v/>
      </c>
      <c r="CF93" s="71" t="e">
        <f t="shared" si="105"/>
        <v>#VALUE!</v>
      </c>
      <c r="CG93" s="71" t="str">
        <f>IF(OR(COUNTBLANK(CJ93)=1,ISERROR(CJ93)),"",COUNT($CJ$4:CJ93))</f>
        <v/>
      </c>
      <c r="CH93" s="7" t="e">
        <f t="shared" si="106"/>
        <v>#VALUE!</v>
      </c>
      <c r="CI93" s="1" t="str">
        <f t="shared" si="107"/>
        <v/>
      </c>
      <c r="CJ93" s="79" t="e">
        <f>IF(IF(COUNTIF($CJ$4:CJ92,CJ90)&gt;=MAX($D$4:$D$8),CJ90+3,CJ90)&gt;55,"",IF(COUNTIF($CJ$4:CJ92,CJ90)&gt;=MAX($D$4:$D$8),CJ90+3,CJ90))</f>
        <v>#VALUE!</v>
      </c>
      <c r="CK93" s="1" t="e">
        <f t="shared" si="93"/>
        <v>#VALUE!</v>
      </c>
      <c r="CL93" s="8" t="str">
        <f t="shared" si="108"/>
        <v/>
      </c>
      <c r="CN93" s="71" t="e">
        <f t="shared" si="99"/>
        <v>#VALUE!</v>
      </c>
      <c r="CO93" s="71" t="str">
        <f>IF(OR(COUNTBLANK(CR93)=1,ISERROR(CR93)),"",COUNT($CR$4:CR93))</f>
        <v/>
      </c>
      <c r="CP93" s="7" t="e">
        <f t="shared" si="100"/>
        <v>#VALUE!</v>
      </c>
      <c r="CQ93" s="1" t="str">
        <f t="shared" si="101"/>
        <v/>
      </c>
      <c r="CR93" s="79" t="e">
        <f>IF(IF(COUNTIF($CR$4:CR92,CR89)&gt;=MAX($D$4:$D$8),CR89+4,CR89)&gt;55,"",IF(COUNTIF($CR$4:CR92,CR89)&gt;=MAX($D$4:$D$8),CR89+4,CR89))</f>
        <v>#VALUE!</v>
      </c>
      <c r="CS93" s="1" t="e">
        <f t="shared" si="94"/>
        <v>#VALUE!</v>
      </c>
      <c r="CT93" s="8" t="str">
        <f t="shared" si="102"/>
        <v/>
      </c>
      <c r="CV93" s="71" t="e">
        <f t="shared" si="109"/>
        <v>#VALUE!</v>
      </c>
      <c r="CW93" s="71" t="str">
        <f>IF(OR(COUNTBLANK(CZ93)=1,ISERROR(CZ93)),"",COUNT($CZ$4:CZ93))</f>
        <v/>
      </c>
      <c r="CX93" s="7" t="e">
        <f t="shared" si="110"/>
        <v>#VALUE!</v>
      </c>
      <c r="CY93" s="1" t="str">
        <f t="shared" si="111"/>
        <v/>
      </c>
      <c r="CZ93" s="79" t="e">
        <f>IF(IF(COUNTIF($CZ$4:CZ92,CZ88)&gt;=MAX($D$4:$D$8),CZ88+5,CZ88)&gt;55,"",IF(COUNTIF($CZ$4:CZ92,CZ88)&gt;=MAX($D$4:$D$8),CZ88+5,CZ88))</f>
        <v>#VALUE!</v>
      </c>
      <c r="DA93" s="1" t="e">
        <f t="shared" si="95"/>
        <v>#VALUE!</v>
      </c>
      <c r="DB93" s="8" t="str">
        <f t="shared" si="112"/>
        <v/>
      </c>
    </row>
    <row r="94" spans="5:106" x14ac:dyDescent="0.15">
      <c r="E94" s="1">
        <v>91</v>
      </c>
      <c r="F94" s="1">
        <f t="shared" si="96"/>
        <v>1</v>
      </c>
      <c r="G94" s="1">
        <f t="shared" si="103"/>
        <v>1</v>
      </c>
      <c r="H94" s="1">
        <f t="shared" si="97"/>
        <v>1</v>
      </c>
      <c r="I94" s="1">
        <f t="shared" si="98"/>
        <v>1</v>
      </c>
      <c r="J94" s="1">
        <f t="shared" si="104"/>
        <v>1</v>
      </c>
      <c r="L94" s="1" t="str">
        <f>IF(ISERROR(HLOOKUP($C$10,$F$3:$J$253,92,0)),"",HLOOKUP($C$10,$F$3:$J$253,92,0))</f>
        <v/>
      </c>
      <c r="W94" s="71" t="e">
        <f>IF(AA94="","",AA94*10+1)</f>
        <v>#VALUE!</v>
      </c>
      <c r="X94" s="71" t="str">
        <f>IF(OR(COUNTBLANK(AA94)=1,ISERROR(AA94)),"",COUNT(AA4:AA94))</f>
        <v/>
      </c>
      <c r="Y94" s="7" t="e">
        <f t="shared" si="69"/>
        <v>#VALUE!</v>
      </c>
      <c r="Z94" s="1" t="str">
        <f t="shared" si="83"/>
        <v/>
      </c>
      <c r="AA94" s="79" t="e">
        <f>IF(IF(COUNTIF(AA4:AA93,AA93)&gt;=MAX(D4:D8),AA93+1,AA93)&gt;50,"",IF(COUNTIF(AA4:AA93,AA93)&gt;=MAX(D4:D8),AA93+1,AA93))</f>
        <v>#VALUE!</v>
      </c>
      <c r="AB94" s="1" t="e">
        <f>IF(AA94="","",VLOOKUP(AA94,S4:U53,3,0))</f>
        <v>#VALUE!</v>
      </c>
      <c r="AC94" s="8" t="str">
        <f t="shared" si="70"/>
        <v/>
      </c>
      <c r="AE94" s="71" t="e">
        <f t="shared" si="71"/>
        <v>#VALUE!</v>
      </c>
      <c r="AF94" s="71" t="str">
        <f>IF(OR(COUNTBLANK(AI94)=1,ISERROR(AI94)),"",COUNT(AI4:AI94))</f>
        <v/>
      </c>
      <c r="AG94" s="7" t="e">
        <f t="shared" si="72"/>
        <v>#VALUE!</v>
      </c>
      <c r="AH94" s="1" t="str">
        <f>IF(ISERROR(INDEX(C4:C8,MATCH(G94,D4:D8,0))),"",INDEX(C4:C8,MATCH(G94,D4:D8,0)))</f>
        <v/>
      </c>
      <c r="AI94" s="79" t="e">
        <f>IF(IF(COUNTIF(AI4:AI93,AI92)&gt;=MAX(D4:D8),AI92+2,AI92)&gt;50,"",IF(COUNTIF(AI4:AI93,AI92)&gt;=MAX(D4:D8),AI92+2,AI92))</f>
        <v>#VALUE!</v>
      </c>
      <c r="AJ94" s="1" t="e">
        <f>IF(AI94="","",VLOOKUP(AI94,S4:U53,3,0))</f>
        <v>#VALUE!</v>
      </c>
      <c r="AK94" s="8" t="str">
        <f t="shared" si="73"/>
        <v/>
      </c>
      <c r="AM94" s="71" t="e">
        <f t="shared" si="74"/>
        <v>#VALUE!</v>
      </c>
      <c r="AN94" s="71" t="str">
        <f>IF(OR(COUNTBLANK(AQ94)=1,ISERROR(AQ94)),"",COUNT(AQ4:AQ94))</f>
        <v/>
      </c>
      <c r="AO94" s="7" t="e">
        <f t="shared" si="75"/>
        <v>#VALUE!</v>
      </c>
      <c r="AP94" s="1" t="str">
        <f>IF(ISERROR(INDEX(C4:C8,MATCH(H94,D4:D8,0))),"",INDEX(C4:C8,MATCH(H94,D4:D8,0)))</f>
        <v/>
      </c>
      <c r="AQ94" s="79" t="e">
        <f>IF(IF(COUNTIF(AQ4:AQ93,AQ91)&gt;=MAX(D4:D8),AQ91+3,AQ91)&gt;50,"",IF(COUNTIF(AQ4:AQ93,AQ91)&gt;=MAX(D4:D8),AQ91+3,AQ91))</f>
        <v>#VALUE!</v>
      </c>
      <c r="AR94" s="1" t="e">
        <f>IF(AQ94="","",VLOOKUP(AQ94,S4:U53,3,0))</f>
        <v>#VALUE!</v>
      </c>
      <c r="AS94" s="8" t="str">
        <f t="shared" si="76"/>
        <v/>
      </c>
      <c r="AU94" s="71" t="e">
        <f t="shared" si="77"/>
        <v>#VALUE!</v>
      </c>
      <c r="AV94" s="71" t="str">
        <f>IF(OR(COUNTBLANK(AY94)=1,ISERROR(AY94)),"",COUNT(AY4:AY94))</f>
        <v/>
      </c>
      <c r="AW94" s="7" t="e">
        <f t="shared" si="78"/>
        <v>#VALUE!</v>
      </c>
      <c r="AX94" s="1" t="str">
        <f>IF(ISERROR(INDEX(C4:C8,MATCH(I94,D4:D8,0))),"",INDEX(C4:C8,MATCH(I94,D4:D8,0)))</f>
        <v/>
      </c>
      <c r="AY94" s="79" t="e">
        <f>IF(IF(COUNTIF(AY4:AY93,AY90)&gt;=MAX(D4:D8),AY90+4,AY90)&gt;50,"",IF(COUNTIF(AY4:AY93,AY90)&gt;=MAX(D4:D8),AY90+4,AY90))</f>
        <v>#VALUE!</v>
      </c>
      <c r="AZ94" s="76" t="e">
        <f>IF(AY94="","",VLOOKUP(AY94,S4:U53,3,0))</f>
        <v>#VALUE!</v>
      </c>
      <c r="BA94" s="8" t="str">
        <f t="shared" si="79"/>
        <v/>
      </c>
      <c r="BC94" s="71" t="e">
        <f t="shared" si="80"/>
        <v>#VALUE!</v>
      </c>
      <c r="BD94" s="71" t="str">
        <f>IF(OR(COUNTBLANK(BG94)=1,ISERROR(BG94)),"",COUNT(BG4:BG94))</f>
        <v/>
      </c>
      <c r="BE94" s="7" t="e">
        <f t="shared" si="81"/>
        <v>#VALUE!</v>
      </c>
      <c r="BF94" s="1" t="str">
        <f>IF(ISERROR(INDEX(C4:C8,MATCH(J94,D4:D8,0))),"",INDEX(C4:C8,MATCH(J94,D4:D8,0)))</f>
        <v/>
      </c>
      <c r="BG94" s="79" t="e">
        <f>IF(IF(COUNTIF(BG4:BG93,BG89)&gt;=MAX(D4:D8),BG89+5,BG89)&gt;50,"",IF(COUNTIF(BG4:BG93,BG89)&gt;=MAX(D4:D8),BG89+5,BG89))</f>
        <v>#VALUE!</v>
      </c>
      <c r="BH94" s="76" t="e">
        <f>IF(BG94="","",VLOOKUP(BG94,S4:U53,3,0))</f>
        <v>#VALUE!</v>
      </c>
      <c r="BI94" s="8" t="str">
        <f t="shared" si="82"/>
        <v/>
      </c>
      <c r="BP94" s="71" t="e">
        <f>IF(BT94="","",BT94*10+1)</f>
        <v>#VALUE!</v>
      </c>
      <c r="BQ94" s="71" t="str">
        <f>IF(OR(COUNTBLANK(BT94)=1,ISERROR(BT94)),"",COUNT(BT4:BT94))</f>
        <v/>
      </c>
      <c r="BR94" s="7" t="e">
        <f t="shared" si="84"/>
        <v>#VALUE!</v>
      </c>
      <c r="BS94" s="1" t="str">
        <f t="shared" si="85"/>
        <v/>
      </c>
      <c r="BT94" s="79" t="e">
        <f>IF(IF(COUNTIF($BT$4:BT93,BT93)&gt;=MAX($D$4:$D$8),BT93+1,BT93)&gt;55,"",IF(COUNTIF($BT$4:BT93,BT93)&gt;=MAX($D$4:$D$8),BT93+1,BT93))</f>
        <v>#VALUE!</v>
      </c>
      <c r="BU94" s="1" t="e">
        <f t="shared" si="86"/>
        <v>#VALUE!</v>
      </c>
      <c r="BV94" s="8" t="str">
        <f t="shared" si="87"/>
        <v/>
      </c>
      <c r="BX94" s="71" t="e">
        <f t="shared" si="88"/>
        <v>#VALUE!</v>
      </c>
      <c r="BY94" s="71" t="str">
        <f>IF(OR(COUNTBLANK(CB94)=1,ISERROR(CB94)),"",COUNT($CB$4:CB94))</f>
        <v/>
      </c>
      <c r="BZ94" s="7" t="e">
        <f t="shared" si="89"/>
        <v>#VALUE!</v>
      </c>
      <c r="CA94" s="1" t="str">
        <f t="shared" si="90"/>
        <v/>
      </c>
      <c r="CB94" s="79" t="e">
        <f>IF(IF(COUNTIF($CB$4:CB93,CB92)&gt;=MAX($D$4:$D$8),CB92+2,CB92)&gt;55,"",IF(COUNTIF($CB$4:CB93,CB92)&gt;=MAX($D$4:$D$8),CB92+2,CB92))</f>
        <v>#VALUE!</v>
      </c>
      <c r="CC94" s="1" t="e">
        <f t="shared" si="91"/>
        <v>#VALUE!</v>
      </c>
      <c r="CD94" s="8" t="str">
        <f t="shared" si="92"/>
        <v/>
      </c>
      <c r="CF94" s="71" t="e">
        <f t="shared" si="105"/>
        <v>#VALUE!</v>
      </c>
      <c r="CG94" s="71" t="str">
        <f>IF(OR(COUNTBLANK(CJ94)=1,ISERROR(CJ94)),"",COUNT($CJ$4:CJ94))</f>
        <v/>
      </c>
      <c r="CH94" s="7" t="e">
        <f t="shared" si="106"/>
        <v>#VALUE!</v>
      </c>
      <c r="CI94" s="1" t="str">
        <f t="shared" si="107"/>
        <v/>
      </c>
      <c r="CJ94" s="79" t="e">
        <f>IF(IF(COUNTIF($CJ$4:CJ93,CJ91)&gt;=MAX($D$4:$D$8),CJ91+3,CJ91)&gt;55,"",IF(COUNTIF($CJ$4:CJ93,CJ91)&gt;=MAX($D$4:$D$8),CJ91+3,CJ91))</f>
        <v>#VALUE!</v>
      </c>
      <c r="CK94" s="1" t="e">
        <f t="shared" si="93"/>
        <v>#VALUE!</v>
      </c>
      <c r="CL94" s="8" t="str">
        <f t="shared" si="108"/>
        <v/>
      </c>
      <c r="CN94" s="71" t="e">
        <f t="shared" si="99"/>
        <v>#VALUE!</v>
      </c>
      <c r="CO94" s="71" t="str">
        <f>IF(OR(COUNTBLANK(CR94)=1,ISERROR(CR94)),"",COUNT($CR$4:CR94))</f>
        <v/>
      </c>
      <c r="CP94" s="7" t="e">
        <f t="shared" si="100"/>
        <v>#VALUE!</v>
      </c>
      <c r="CQ94" s="1" t="str">
        <f t="shared" si="101"/>
        <v/>
      </c>
      <c r="CR94" s="79" t="e">
        <f>IF(IF(COUNTIF($CR$4:CR93,CR90)&gt;=MAX($D$4:$D$8),CR90+4,CR90)&gt;55,"",IF(COUNTIF($CR$4:CR93,CR90)&gt;=MAX($D$4:$D$8),CR90+4,CR90))</f>
        <v>#VALUE!</v>
      </c>
      <c r="CS94" s="1" t="e">
        <f t="shared" si="94"/>
        <v>#VALUE!</v>
      </c>
      <c r="CT94" s="8" t="str">
        <f t="shared" si="102"/>
        <v/>
      </c>
      <c r="CV94" s="71" t="e">
        <f t="shared" si="109"/>
        <v>#VALUE!</v>
      </c>
      <c r="CW94" s="71" t="str">
        <f>IF(OR(COUNTBLANK(CZ94)=1,ISERROR(CZ94)),"",COUNT($CZ$4:CZ94))</f>
        <v/>
      </c>
      <c r="CX94" s="7" t="e">
        <f t="shared" si="110"/>
        <v>#VALUE!</v>
      </c>
      <c r="CY94" s="1" t="str">
        <f t="shared" si="111"/>
        <v/>
      </c>
      <c r="CZ94" s="79" t="e">
        <f>IF(IF(COUNTIF($CZ$4:CZ93,CZ89)&gt;=MAX($D$4:$D$8),CZ89+5,CZ89)&gt;55,"",IF(COUNTIF($CZ$4:CZ93,CZ89)&gt;=MAX($D$4:$D$8),CZ89+5,CZ89))</f>
        <v>#VALUE!</v>
      </c>
      <c r="DA94" s="1" t="e">
        <f t="shared" si="95"/>
        <v>#VALUE!</v>
      </c>
      <c r="DB94" s="8" t="str">
        <f t="shared" si="112"/>
        <v/>
      </c>
    </row>
    <row r="95" spans="5:106" x14ac:dyDescent="0.15">
      <c r="E95" s="1">
        <v>92</v>
      </c>
      <c r="F95" s="1">
        <f t="shared" si="96"/>
        <v>1</v>
      </c>
      <c r="G95" s="1">
        <f t="shared" si="103"/>
        <v>1</v>
      </c>
      <c r="H95" s="1">
        <f t="shared" si="97"/>
        <v>1</v>
      </c>
      <c r="I95" s="1">
        <f t="shared" si="98"/>
        <v>1</v>
      </c>
      <c r="J95" s="1">
        <f t="shared" si="104"/>
        <v>1</v>
      </c>
      <c r="L95" s="1" t="str">
        <f>IF(ISERROR(HLOOKUP($C$10,$F$3:$J$253,93,0)),"",HLOOKUP($C$10,$F$3:$J$253,93,0))</f>
        <v/>
      </c>
      <c r="N95" s="67"/>
      <c r="W95" s="71" t="e">
        <f>IF(AA95="","",AA95*10+2)</f>
        <v>#VALUE!</v>
      </c>
      <c r="X95" s="71" t="str">
        <f>IF(OR(COUNTBLANK(AA95)=1,ISERROR(AA95)),"",COUNT(AA4:AA95))</f>
        <v/>
      </c>
      <c r="Y95" s="7" t="e">
        <f t="shared" si="69"/>
        <v>#VALUE!</v>
      </c>
      <c r="Z95" s="1" t="str">
        <f t="shared" si="83"/>
        <v/>
      </c>
      <c r="AA95" s="79" t="e">
        <f>IF(IF(COUNTIF(AA4:AA94,AA94)&gt;=MAX(D4:D8),AA94+1,AA94)&gt;50,"",IF(COUNTIF(AA4:AA94,AA94)&gt;=MAX(D4:D8),AA94+1,AA94))</f>
        <v>#VALUE!</v>
      </c>
      <c r="AB95" s="1" t="e">
        <f>IF(AA95="","",VLOOKUP(AA95,S4:U53,3,0))</f>
        <v>#VALUE!</v>
      </c>
      <c r="AC95" s="8" t="str">
        <f t="shared" si="70"/>
        <v/>
      </c>
      <c r="AE95" s="71" t="e">
        <f t="shared" si="71"/>
        <v>#VALUE!</v>
      </c>
      <c r="AF95" s="71" t="str">
        <f>IF(OR(COUNTBLANK(AI95)=1,ISERROR(AI95)),"",COUNT(AI4:AI95))</f>
        <v/>
      </c>
      <c r="AG95" s="7" t="e">
        <f t="shared" si="72"/>
        <v>#VALUE!</v>
      </c>
      <c r="AH95" s="1" t="str">
        <f>IF(ISERROR(INDEX(C4:C8,MATCH(G95,D4:D8,0))),"",INDEX(C4:C8,MATCH(G95,D4:D8,0)))</f>
        <v/>
      </c>
      <c r="AI95" s="79" t="e">
        <f>IF(IF(COUNTIF(AI4:AI93,AI93)&gt;=MAX(D4:D8),AI93+2,AI93)&gt;50,"",IF(COUNTIF(AI4:AI93,AI93)&gt;=MAX(D4:D8),AI93+2,AI93))</f>
        <v>#VALUE!</v>
      </c>
      <c r="AJ95" s="1" t="e">
        <f>IF(AI95="","",VLOOKUP(AI95,S4:U53,3,0))</f>
        <v>#VALUE!</v>
      </c>
      <c r="AK95" s="8" t="str">
        <f t="shared" si="73"/>
        <v/>
      </c>
      <c r="AM95" s="71" t="e">
        <f t="shared" si="74"/>
        <v>#VALUE!</v>
      </c>
      <c r="AN95" s="71" t="str">
        <f>IF(OR(COUNTBLANK(AQ95)=1,ISERROR(AQ95)),"",COUNT(AQ4:AQ95))</f>
        <v/>
      </c>
      <c r="AO95" s="7" t="e">
        <f t="shared" si="75"/>
        <v>#VALUE!</v>
      </c>
      <c r="AP95" s="1" t="str">
        <f>IF(ISERROR(INDEX(C4:C8,MATCH(H95,D4:D8,0))),"",INDEX(C4:C8,MATCH(H95,D4:D8,0)))</f>
        <v/>
      </c>
      <c r="AQ95" s="79" t="e">
        <f>IF(IF(COUNTIF(AQ4:AQ94,AQ92)&gt;=MAX(D4:D8),AQ92+3,AQ92)&gt;50,"",IF(COUNTIF(AQ4:AQ94,AQ92)&gt;=MAX(D4:D8),AQ92+3,AQ92))</f>
        <v>#VALUE!</v>
      </c>
      <c r="AR95" s="1" t="e">
        <f>IF(AQ95="","",VLOOKUP(AQ95,S4:U53,3,0))</f>
        <v>#VALUE!</v>
      </c>
      <c r="AS95" s="8" t="str">
        <f t="shared" si="76"/>
        <v/>
      </c>
      <c r="AU95" s="71" t="e">
        <f t="shared" si="77"/>
        <v>#VALUE!</v>
      </c>
      <c r="AV95" s="71" t="str">
        <f>IF(OR(COUNTBLANK(AY95)=1,ISERROR(AY95)),"",COUNT(AY4:AY95))</f>
        <v/>
      </c>
      <c r="AW95" s="7" t="e">
        <f t="shared" si="78"/>
        <v>#VALUE!</v>
      </c>
      <c r="AX95" s="1" t="str">
        <f>IF(ISERROR(INDEX(C4:C8,MATCH(I95,D4:D8,0))),"",INDEX(C4:C8,MATCH(I95,D4:D8,0)))</f>
        <v/>
      </c>
      <c r="AY95" s="79" t="e">
        <f>IF(IF(COUNTIF(AY4:AY94,AY91)&gt;=MAX(D4:D8),AY91+4,AY91)&gt;50,"",IF(COUNTIF(AY4:AY94,AY91)&gt;=MAX(D4:D8),AY91+4,AY91))</f>
        <v>#VALUE!</v>
      </c>
      <c r="AZ95" s="76" t="e">
        <f>IF(AY95="","",VLOOKUP(AY95,S4:U53,3,0))</f>
        <v>#VALUE!</v>
      </c>
      <c r="BA95" s="8" t="str">
        <f t="shared" si="79"/>
        <v/>
      </c>
      <c r="BC95" s="71" t="e">
        <f t="shared" si="80"/>
        <v>#VALUE!</v>
      </c>
      <c r="BD95" s="71" t="str">
        <f>IF(OR(COUNTBLANK(BG95)=1,ISERROR(BG95)),"",COUNT(BG4:BG95))</f>
        <v/>
      </c>
      <c r="BE95" s="7" t="e">
        <f t="shared" si="81"/>
        <v>#VALUE!</v>
      </c>
      <c r="BF95" s="1" t="str">
        <f>IF(ISERROR(INDEX(C4:C8,MATCH(J95,D4:D8,0))),"",INDEX(C4:C8,MATCH(J95,D4:D8,0)))</f>
        <v/>
      </c>
      <c r="BG95" s="79" t="e">
        <f>IF(IF(COUNTIF(BG4:BG94,BG90)&gt;=MAX(D4:D8),BG90+5,BG90)&gt;50,"",IF(COUNTIF(BG4:BG94,BG90)&gt;=MAX(D4:D8),BG90+5,BG90))</f>
        <v>#VALUE!</v>
      </c>
      <c r="BH95" s="76" t="e">
        <f>IF(BG95="","",VLOOKUP(BG95,S4:U53,3,0))</f>
        <v>#VALUE!</v>
      </c>
      <c r="BI95" s="8" t="str">
        <f t="shared" si="82"/>
        <v/>
      </c>
      <c r="BP95" s="71" t="e">
        <f>IF(BT95="","",BT95*10+2)</f>
        <v>#VALUE!</v>
      </c>
      <c r="BQ95" s="71" t="str">
        <f>IF(OR(COUNTBLANK(BT95)=1,ISERROR(BT95)),"",COUNT(BT4:BT95))</f>
        <v/>
      </c>
      <c r="BR95" s="7" t="e">
        <f t="shared" si="84"/>
        <v>#VALUE!</v>
      </c>
      <c r="BS95" s="1" t="str">
        <f t="shared" si="85"/>
        <v/>
      </c>
      <c r="BT95" s="79" t="e">
        <f>IF(IF(COUNTIF($BT$4:BT94,BT94)&gt;=MAX($D$4:$D$8),BT94+1,BT94)&gt;55,"",IF(COUNTIF($BT$4:BT94,BT94)&gt;=MAX($D$4:$D$8),BT94+1,BT94))</f>
        <v>#VALUE!</v>
      </c>
      <c r="BU95" s="1" t="e">
        <f t="shared" si="86"/>
        <v>#VALUE!</v>
      </c>
      <c r="BV95" s="8" t="str">
        <f t="shared" si="87"/>
        <v/>
      </c>
      <c r="BX95" s="71" t="e">
        <f t="shared" si="88"/>
        <v>#VALUE!</v>
      </c>
      <c r="BY95" s="71" t="str">
        <f>IF(OR(COUNTBLANK(CB95)=1,ISERROR(CB95)),"",COUNT($CB$4:CB95))</f>
        <v/>
      </c>
      <c r="BZ95" s="7" t="e">
        <f t="shared" si="89"/>
        <v>#VALUE!</v>
      </c>
      <c r="CA95" s="1" t="str">
        <f t="shared" si="90"/>
        <v/>
      </c>
      <c r="CB95" s="79" t="e">
        <f>IF(IF(COUNTIF($CB$4:CB94,CB93)&gt;=MAX($D$4:$D$8),CB93+2,CB93)&gt;55,"",IF(COUNTIF($CB$4:CB94,CB93)&gt;=MAX($D$4:$D$8),CB93+2,CB93))</f>
        <v>#VALUE!</v>
      </c>
      <c r="CC95" s="1" t="e">
        <f t="shared" si="91"/>
        <v>#VALUE!</v>
      </c>
      <c r="CD95" s="8" t="str">
        <f t="shared" si="92"/>
        <v/>
      </c>
      <c r="CF95" s="71" t="e">
        <f t="shared" si="105"/>
        <v>#VALUE!</v>
      </c>
      <c r="CG95" s="71" t="str">
        <f>IF(OR(COUNTBLANK(CJ95)=1,ISERROR(CJ95)),"",COUNT($CJ$4:CJ95))</f>
        <v/>
      </c>
      <c r="CH95" s="7" t="e">
        <f t="shared" si="106"/>
        <v>#VALUE!</v>
      </c>
      <c r="CI95" s="1" t="str">
        <f t="shared" si="107"/>
        <v/>
      </c>
      <c r="CJ95" s="79" t="e">
        <f>IF(IF(COUNTIF($CJ$4:CJ94,CJ92)&gt;=MAX($D$4:$D$8),CJ92+3,CJ92)&gt;55,"",IF(COUNTIF($CJ$4:CJ94,CJ92)&gt;=MAX($D$4:$D$8),CJ92+3,CJ92))</f>
        <v>#VALUE!</v>
      </c>
      <c r="CK95" s="1" t="e">
        <f t="shared" si="93"/>
        <v>#VALUE!</v>
      </c>
      <c r="CL95" s="8" t="str">
        <f t="shared" si="108"/>
        <v/>
      </c>
      <c r="CN95" s="71" t="e">
        <f t="shared" si="99"/>
        <v>#VALUE!</v>
      </c>
      <c r="CO95" s="71" t="str">
        <f>IF(OR(COUNTBLANK(CR95)=1,ISERROR(CR95)),"",COUNT($CR$4:CR95))</f>
        <v/>
      </c>
      <c r="CP95" s="7" t="e">
        <f t="shared" si="100"/>
        <v>#VALUE!</v>
      </c>
      <c r="CQ95" s="1" t="str">
        <f t="shared" si="101"/>
        <v/>
      </c>
      <c r="CR95" s="79" t="e">
        <f>IF(IF(COUNTIF($CR$4:CR94,CR91)&gt;=MAX($D$4:$D$8),CR91+4,CR91)&gt;55,"",IF(COUNTIF($CR$4:CR94,CR91)&gt;=MAX($D$4:$D$8),CR91+4,CR91))</f>
        <v>#VALUE!</v>
      </c>
      <c r="CS95" s="1" t="e">
        <f t="shared" si="94"/>
        <v>#VALUE!</v>
      </c>
      <c r="CT95" s="8" t="str">
        <f t="shared" si="102"/>
        <v/>
      </c>
      <c r="CV95" s="71" t="e">
        <f t="shared" si="109"/>
        <v>#VALUE!</v>
      </c>
      <c r="CW95" s="71" t="str">
        <f>IF(OR(COUNTBLANK(CZ95)=1,ISERROR(CZ95)),"",COUNT($CZ$4:CZ95))</f>
        <v/>
      </c>
      <c r="CX95" s="7" t="e">
        <f t="shared" si="110"/>
        <v>#VALUE!</v>
      </c>
      <c r="CY95" s="1" t="str">
        <f t="shared" si="111"/>
        <v/>
      </c>
      <c r="CZ95" s="79" t="e">
        <f>IF(IF(COUNTIF($CZ$4:CZ94,CZ90)&gt;=MAX($D$4:$D$8),CZ90+5,CZ90)&gt;55,"",IF(COUNTIF($CZ$4:CZ94,CZ90)&gt;=MAX($D$4:$D$8),CZ90+5,CZ90))</f>
        <v>#VALUE!</v>
      </c>
      <c r="DA95" s="1" t="e">
        <f t="shared" si="95"/>
        <v>#VALUE!</v>
      </c>
      <c r="DB95" s="8" t="str">
        <f t="shared" si="112"/>
        <v/>
      </c>
    </row>
    <row r="96" spans="5:106" x14ac:dyDescent="0.15">
      <c r="E96" s="1">
        <v>93</v>
      </c>
      <c r="F96" s="1">
        <f t="shared" si="96"/>
        <v>1</v>
      </c>
      <c r="G96" s="1">
        <f t="shared" si="103"/>
        <v>1</v>
      </c>
      <c r="H96" s="1">
        <f t="shared" si="97"/>
        <v>1</v>
      </c>
      <c r="I96" s="1">
        <f t="shared" si="98"/>
        <v>1</v>
      </c>
      <c r="J96" s="1">
        <f t="shared" si="104"/>
        <v>1</v>
      </c>
      <c r="L96" s="1" t="str">
        <f>IF(ISERROR(HLOOKUP($C$10,$F$3:$J$253,94,0)),"",HLOOKUP($C$10,$F$3:$J$253,94,0))</f>
        <v/>
      </c>
      <c r="N96" s="67"/>
      <c r="W96" s="71" t="e">
        <f>IF(AA96="","",AA96*10+3)</f>
        <v>#VALUE!</v>
      </c>
      <c r="X96" s="71" t="str">
        <f>IF(OR(COUNTBLANK(AA96)=1,ISERROR(AA96)),"",COUNT(AA4:AA96))</f>
        <v/>
      </c>
      <c r="Y96" s="7" t="e">
        <f t="shared" si="69"/>
        <v>#VALUE!</v>
      </c>
      <c r="Z96" s="1" t="str">
        <f t="shared" si="83"/>
        <v/>
      </c>
      <c r="AA96" s="79" t="e">
        <f>IF(IF(COUNTIF(AA4:AA95,AA95)&gt;=MAX(D4:D8),AA95+1,AA95)&gt;50,"",IF(COUNTIF(AA4:AA95,AA95)&gt;=MAX(D4:D8),AA95+1,AA95))</f>
        <v>#VALUE!</v>
      </c>
      <c r="AB96" s="1" t="e">
        <f>IF(AA96="","",VLOOKUP(AA96,S4:U53,3,0))</f>
        <v>#VALUE!</v>
      </c>
      <c r="AC96" s="8" t="str">
        <f t="shared" si="70"/>
        <v/>
      </c>
      <c r="AE96" s="71" t="e">
        <f t="shared" si="71"/>
        <v>#VALUE!</v>
      </c>
      <c r="AF96" s="71" t="str">
        <f>IF(OR(COUNTBLANK(AI96)=1,ISERROR(AI96)),"",COUNT(AI4:AI96))</f>
        <v/>
      </c>
      <c r="AG96" s="7" t="e">
        <f t="shared" si="72"/>
        <v>#VALUE!</v>
      </c>
      <c r="AH96" s="1" t="str">
        <f>IF(ISERROR(INDEX(C4:C8,MATCH(G96,D4:D8,0))),"",INDEX(C4:C8,MATCH(G96,D4:D8,0)))</f>
        <v/>
      </c>
      <c r="AI96" s="79" t="e">
        <f>IF(IF(COUNTIF(AI4:AI95,AI94)&gt;=MAX(D4:D8),AI94+2,AI94)&gt;50,"",IF(COUNTIF(AI4:AI95,AI94)&gt;=MAX(D4:D8),AI94+2,AI94))</f>
        <v>#VALUE!</v>
      </c>
      <c r="AJ96" s="1" t="e">
        <f>IF(AI96="","",VLOOKUP(AI96,S4:U53,3,0))</f>
        <v>#VALUE!</v>
      </c>
      <c r="AK96" s="8" t="str">
        <f t="shared" si="73"/>
        <v/>
      </c>
      <c r="AM96" s="71" t="e">
        <f t="shared" si="74"/>
        <v>#VALUE!</v>
      </c>
      <c r="AN96" s="71" t="str">
        <f>IF(OR(COUNTBLANK(AQ96)=1,ISERROR(AQ96)),"",COUNT(AQ4:AQ96))</f>
        <v/>
      </c>
      <c r="AO96" s="7" t="e">
        <f t="shared" si="75"/>
        <v>#VALUE!</v>
      </c>
      <c r="AP96" s="1" t="str">
        <f>IF(ISERROR(INDEX(C4:C8,MATCH(H96,D4:D8,0))),"",INDEX(C4:C8,MATCH(H96,D4:D8,0)))</f>
        <v/>
      </c>
      <c r="AQ96" s="79" t="e">
        <f>IF(IF(COUNTIF(AQ4:AQ95,AQ93)&gt;=MAX(D4:D8),AQ93+3,AQ93)&gt;50,"",IF(COUNTIF(AQ4:AQ95,AQ93)&gt;=MAX(D4:D8),AQ93+3,AQ93))</f>
        <v>#VALUE!</v>
      </c>
      <c r="AR96" s="1" t="e">
        <f>IF(AQ96="","",VLOOKUP(AQ96,S4:U53,3,0))</f>
        <v>#VALUE!</v>
      </c>
      <c r="AS96" s="8" t="str">
        <f t="shared" si="76"/>
        <v/>
      </c>
      <c r="AU96" s="71" t="e">
        <f t="shared" si="77"/>
        <v>#VALUE!</v>
      </c>
      <c r="AV96" s="71" t="str">
        <f>IF(OR(COUNTBLANK(AY96)=1,ISERROR(AY96)),"",COUNT(AY4:AY96))</f>
        <v/>
      </c>
      <c r="AW96" s="7" t="e">
        <f t="shared" si="78"/>
        <v>#VALUE!</v>
      </c>
      <c r="AX96" s="1" t="str">
        <f>IF(ISERROR(INDEX(C4:C8,MATCH(I96,D4:D8,0))),"",INDEX(C4:C8,MATCH(I96,D4:D8,0)))</f>
        <v/>
      </c>
      <c r="AY96" s="79" t="e">
        <f>IF(IF(COUNTIF(AY4:AY95,AY92)&gt;=MAX(D4:D8),AY92+4,AY92)&gt;50,"",IF(COUNTIF(AY4:AY95,AY92)&gt;=MAX(D4:D8),AY92+4,AY92))</f>
        <v>#VALUE!</v>
      </c>
      <c r="AZ96" s="76" t="e">
        <f>IF(AY96="","",VLOOKUP(AY96,S4:U53,3,0))</f>
        <v>#VALUE!</v>
      </c>
      <c r="BA96" s="8" t="str">
        <f t="shared" si="79"/>
        <v/>
      </c>
      <c r="BC96" s="71" t="e">
        <f t="shared" si="80"/>
        <v>#VALUE!</v>
      </c>
      <c r="BD96" s="71" t="str">
        <f>IF(OR(COUNTBLANK(BG96)=1,ISERROR(BG96)),"",COUNT(BG4:BG96))</f>
        <v/>
      </c>
      <c r="BE96" s="7" t="e">
        <f t="shared" si="81"/>
        <v>#VALUE!</v>
      </c>
      <c r="BF96" s="1" t="str">
        <f>IF(ISERROR(INDEX(C4:C8,MATCH(J96,D4:D8,0))),"",INDEX(C4:C8,MATCH(J96,D4:D8,0)))</f>
        <v/>
      </c>
      <c r="BG96" s="79" t="e">
        <f>IF(IF(COUNTIF(BG4:BG95,BG91)&gt;=MAX(D4:D8),BG91+5,BG91)&gt;50,"",IF(COUNTIF(BG4:BG95,BG91)&gt;=MAX(D4:D8),BG91+5,BG91))</f>
        <v>#VALUE!</v>
      </c>
      <c r="BH96" s="76" t="e">
        <f>IF(BG96="","",VLOOKUP(BG96,S4:U53,3,0))</f>
        <v>#VALUE!</v>
      </c>
      <c r="BI96" s="8" t="str">
        <f t="shared" si="82"/>
        <v/>
      </c>
      <c r="BP96" s="71" t="e">
        <f>IF(BT96="","",BT96*10+3)</f>
        <v>#VALUE!</v>
      </c>
      <c r="BQ96" s="71" t="str">
        <f>IF(OR(COUNTBLANK(BT96)=1,ISERROR(BT96)),"",COUNT(BT4:BT96))</f>
        <v/>
      </c>
      <c r="BR96" s="7" t="e">
        <f t="shared" si="84"/>
        <v>#VALUE!</v>
      </c>
      <c r="BS96" s="1" t="str">
        <f t="shared" si="85"/>
        <v/>
      </c>
      <c r="BT96" s="79" t="e">
        <f>IF(IF(COUNTIF($BT$4:BT95,BT95)&gt;=MAX($D$4:$D$8),BT95+1,BT95)&gt;55,"",IF(COUNTIF($BT$4:BT95,BT95)&gt;=MAX($D$4:$D$8),BT95+1,BT95))</f>
        <v>#VALUE!</v>
      </c>
      <c r="BU96" s="1" t="e">
        <f t="shared" si="86"/>
        <v>#VALUE!</v>
      </c>
      <c r="BV96" s="8" t="str">
        <f t="shared" si="87"/>
        <v/>
      </c>
      <c r="BX96" s="71" t="e">
        <f t="shared" si="88"/>
        <v>#VALUE!</v>
      </c>
      <c r="BY96" s="71" t="str">
        <f>IF(OR(COUNTBLANK(CB96)=1,ISERROR(CB96)),"",COUNT($CB$4:CB96))</f>
        <v/>
      </c>
      <c r="BZ96" s="7" t="e">
        <f t="shared" si="89"/>
        <v>#VALUE!</v>
      </c>
      <c r="CA96" s="1" t="str">
        <f t="shared" si="90"/>
        <v/>
      </c>
      <c r="CB96" s="79" t="e">
        <f>IF(IF(COUNTIF($CB$4:CB95,CB94)&gt;=MAX($D$4:$D$8),CB94+2,CB94)&gt;55,"",IF(COUNTIF($CB$4:CB95,CB94)&gt;=MAX($D$4:$D$8),CB94+2,CB94))</f>
        <v>#VALUE!</v>
      </c>
      <c r="CC96" s="1" t="e">
        <f t="shared" si="91"/>
        <v>#VALUE!</v>
      </c>
      <c r="CD96" s="8" t="str">
        <f t="shared" si="92"/>
        <v/>
      </c>
      <c r="CF96" s="71" t="e">
        <f t="shared" si="105"/>
        <v>#VALUE!</v>
      </c>
      <c r="CG96" s="71" t="str">
        <f>IF(OR(COUNTBLANK(CJ96)=1,ISERROR(CJ96)),"",COUNT($CJ$4:CJ96))</f>
        <v/>
      </c>
      <c r="CH96" s="7" t="e">
        <f t="shared" si="106"/>
        <v>#VALUE!</v>
      </c>
      <c r="CI96" s="1" t="str">
        <f t="shared" si="107"/>
        <v/>
      </c>
      <c r="CJ96" s="79" t="e">
        <f>IF(IF(COUNTIF($CJ$4:CJ95,CJ93)&gt;=MAX($D$4:$D$8),CJ93+3,CJ93)&gt;55,"",IF(COUNTIF($CJ$4:CJ95,CJ93)&gt;=MAX($D$4:$D$8),CJ93+3,CJ93))</f>
        <v>#VALUE!</v>
      </c>
      <c r="CK96" s="1" t="e">
        <f t="shared" si="93"/>
        <v>#VALUE!</v>
      </c>
      <c r="CL96" s="8" t="str">
        <f t="shared" si="108"/>
        <v/>
      </c>
      <c r="CN96" s="71" t="e">
        <f t="shared" si="99"/>
        <v>#VALUE!</v>
      </c>
      <c r="CO96" s="71" t="str">
        <f>IF(OR(COUNTBLANK(CR96)=1,ISERROR(CR96)),"",COUNT($CR$4:CR96))</f>
        <v/>
      </c>
      <c r="CP96" s="7" t="e">
        <f t="shared" si="100"/>
        <v>#VALUE!</v>
      </c>
      <c r="CQ96" s="1" t="str">
        <f t="shared" si="101"/>
        <v/>
      </c>
      <c r="CR96" s="79" t="e">
        <f>IF(IF(COUNTIF($CR$4:CR95,CR92)&gt;=MAX($D$4:$D$8),CR92+4,CR92)&gt;55,"",IF(COUNTIF($CR$4:CR95,CR92)&gt;=MAX($D$4:$D$8),CR92+4,CR92))</f>
        <v>#VALUE!</v>
      </c>
      <c r="CS96" s="1" t="e">
        <f t="shared" si="94"/>
        <v>#VALUE!</v>
      </c>
      <c r="CT96" s="8" t="str">
        <f t="shared" si="102"/>
        <v/>
      </c>
      <c r="CV96" s="71" t="e">
        <f t="shared" si="109"/>
        <v>#VALUE!</v>
      </c>
      <c r="CW96" s="71" t="str">
        <f>IF(OR(COUNTBLANK(CZ96)=1,ISERROR(CZ96)),"",COUNT($CZ$4:CZ96))</f>
        <v/>
      </c>
      <c r="CX96" s="7" t="e">
        <f t="shared" si="110"/>
        <v>#VALUE!</v>
      </c>
      <c r="CY96" s="1" t="str">
        <f t="shared" si="111"/>
        <v/>
      </c>
      <c r="CZ96" s="79" t="e">
        <f>IF(IF(COUNTIF($CZ$4:CZ95,CZ91)&gt;=MAX($D$4:$D$8),CZ91+5,CZ91)&gt;55,"",IF(COUNTIF($CZ$4:CZ95,CZ91)&gt;=MAX($D$4:$D$8),CZ91+5,CZ91))</f>
        <v>#VALUE!</v>
      </c>
      <c r="DA96" s="1" t="e">
        <f t="shared" si="95"/>
        <v>#VALUE!</v>
      </c>
      <c r="DB96" s="8" t="str">
        <f t="shared" si="112"/>
        <v/>
      </c>
    </row>
    <row r="97" spans="5:106" x14ac:dyDescent="0.15">
      <c r="E97" s="1">
        <v>94</v>
      </c>
      <c r="F97" s="1">
        <f t="shared" si="96"/>
        <v>1</v>
      </c>
      <c r="G97" s="1">
        <f t="shared" si="103"/>
        <v>1</v>
      </c>
      <c r="H97" s="1">
        <f t="shared" si="97"/>
        <v>1</v>
      </c>
      <c r="I97" s="1">
        <f t="shared" si="98"/>
        <v>1</v>
      </c>
      <c r="J97" s="1">
        <f t="shared" si="104"/>
        <v>1</v>
      </c>
      <c r="L97" s="1" t="str">
        <f>IF(ISERROR(HLOOKUP($C$10,$F$3:$J$253,95,0)),"",HLOOKUP($C$10,$F$3:$J$253,95,0))</f>
        <v/>
      </c>
      <c r="N97" s="67"/>
      <c r="W97" s="71" t="e">
        <f>IF(AA97="","",AA97*10+4)</f>
        <v>#VALUE!</v>
      </c>
      <c r="X97" s="71" t="str">
        <f>IF(OR(COUNTBLANK(AA97)=1,ISERROR(AA97)),"",COUNT(AA4:AA97))</f>
        <v/>
      </c>
      <c r="Y97" s="7" t="e">
        <f t="shared" si="69"/>
        <v>#VALUE!</v>
      </c>
      <c r="Z97" s="1" t="str">
        <f t="shared" si="83"/>
        <v/>
      </c>
      <c r="AA97" s="79" t="e">
        <f>IF(IF(COUNTIF(AA4:AA96,AA96)&gt;=MAX(D4:D8),AA96+1,AA96)&gt;50,"",IF(COUNTIF(AA4:AA96,AA96)&gt;=MAX(D4:D8),AA96+1,AA96))</f>
        <v>#VALUE!</v>
      </c>
      <c r="AB97" s="1" t="e">
        <f>IF(AA97="","",VLOOKUP(AA97,S4:U53,3,0))</f>
        <v>#VALUE!</v>
      </c>
      <c r="AC97" s="8" t="str">
        <f t="shared" si="70"/>
        <v/>
      </c>
      <c r="AE97" s="71" t="e">
        <f t="shared" si="71"/>
        <v>#VALUE!</v>
      </c>
      <c r="AF97" s="71" t="str">
        <f>IF(OR(COUNTBLANK(AI97)=1,ISERROR(AI97)),"",COUNT(AI4:AI97))</f>
        <v/>
      </c>
      <c r="AG97" s="7" t="e">
        <f t="shared" si="72"/>
        <v>#VALUE!</v>
      </c>
      <c r="AH97" s="1" t="str">
        <f>IF(ISERROR(INDEX(C4:C8,MATCH(G97,D4:D8,0))),"",INDEX(C4:C8,MATCH(G97,D4:D8,0)))</f>
        <v/>
      </c>
      <c r="AI97" s="79" t="e">
        <f>IF(IF(COUNTIF(AI4:AI95,AI95)&gt;=MAX(D4:D8),AI95+2,AI95)&gt;50,"",IF(COUNTIF(AI4:AI95,AI95)&gt;=MAX(D4:D8),AI95+2,AI95))</f>
        <v>#VALUE!</v>
      </c>
      <c r="AJ97" s="1" t="e">
        <f>IF(AI97="","",VLOOKUP(AI97,S4:U53,3,0))</f>
        <v>#VALUE!</v>
      </c>
      <c r="AK97" s="8" t="str">
        <f t="shared" si="73"/>
        <v/>
      </c>
      <c r="AM97" s="71" t="e">
        <f t="shared" si="74"/>
        <v>#VALUE!</v>
      </c>
      <c r="AN97" s="71" t="str">
        <f>IF(OR(COUNTBLANK(AQ97)=1,ISERROR(AQ97)),"",COUNT(AQ4:AQ97))</f>
        <v/>
      </c>
      <c r="AO97" s="7" t="e">
        <f t="shared" si="75"/>
        <v>#VALUE!</v>
      </c>
      <c r="AP97" s="1" t="str">
        <f>IF(ISERROR(INDEX(C4:C8,MATCH(H97,D4:D8,0))),"",INDEX(C4:C8,MATCH(H97,D4:D8,0)))</f>
        <v/>
      </c>
      <c r="AQ97" s="79" t="e">
        <f>IF(IF(COUNTIF(AQ4:AQ96,AQ94)&gt;=MAX(D4:D8),AQ94+3,AQ94)&gt;50,"",IF(COUNTIF(AQ4:AQ96,AQ94)&gt;=MAX(D4:D8),AQ94+3,AQ94))</f>
        <v>#VALUE!</v>
      </c>
      <c r="AR97" s="1" t="e">
        <f>IF(AQ97="","",VLOOKUP(AQ97,S4:U53,3,0))</f>
        <v>#VALUE!</v>
      </c>
      <c r="AS97" s="8" t="str">
        <f t="shared" si="76"/>
        <v/>
      </c>
      <c r="AU97" s="71" t="e">
        <f t="shared" si="77"/>
        <v>#VALUE!</v>
      </c>
      <c r="AV97" s="71" t="str">
        <f>IF(OR(COUNTBLANK(AY97)=1,ISERROR(AY97)),"",COUNT(AY4:AY97))</f>
        <v/>
      </c>
      <c r="AW97" s="7" t="e">
        <f t="shared" si="78"/>
        <v>#VALUE!</v>
      </c>
      <c r="AX97" s="1" t="str">
        <f>IF(ISERROR(INDEX(C4:C8,MATCH(I97,D4:D8,0))),"",INDEX(C4:C8,MATCH(I97,D4:D8,0)))</f>
        <v/>
      </c>
      <c r="AY97" s="79" t="e">
        <f>IF(IF(COUNTIF(AY4:AY96,AY93)&gt;=MAX(D4:D8),AY93+4,AY93)&gt;50,"",IF(COUNTIF(AY4:AY96,AY93)&gt;=MAX(D4:D8),AY93+4,AY93))</f>
        <v>#VALUE!</v>
      </c>
      <c r="AZ97" s="76" t="e">
        <f>IF(AY97="","",VLOOKUP(AY97,S4:U53,3,0))</f>
        <v>#VALUE!</v>
      </c>
      <c r="BA97" s="8" t="str">
        <f t="shared" si="79"/>
        <v/>
      </c>
      <c r="BC97" s="71" t="e">
        <f t="shared" si="80"/>
        <v>#VALUE!</v>
      </c>
      <c r="BD97" s="71" t="str">
        <f>IF(OR(COUNTBLANK(BG97)=1,ISERROR(BG97)),"",COUNT(BG4:BG97))</f>
        <v/>
      </c>
      <c r="BE97" s="7" t="e">
        <f t="shared" si="81"/>
        <v>#VALUE!</v>
      </c>
      <c r="BF97" s="1" t="str">
        <f>IF(ISERROR(INDEX(C4:C8,MATCH(J97,D4:D8,0))),"",INDEX(C4:C8,MATCH(J97,D4:D8,0)))</f>
        <v/>
      </c>
      <c r="BG97" s="79" t="e">
        <f>IF(IF(COUNTIF(BG4:BG96,BG92)&gt;=MAX(D4:D8),BG92+5,BG92)&gt;50,"",IF(COUNTIF(BG4:BG96,BG92)&gt;=MAX(D4:D8),BG92+5,BG92))</f>
        <v>#VALUE!</v>
      </c>
      <c r="BH97" s="76" t="e">
        <f>IF(BG97="","",VLOOKUP(BG97,S4:U53,3,0))</f>
        <v>#VALUE!</v>
      </c>
      <c r="BI97" s="8" t="str">
        <f t="shared" si="82"/>
        <v/>
      </c>
      <c r="BP97" s="71" t="e">
        <f>IF(BT97="","",BT97*10+4)</f>
        <v>#VALUE!</v>
      </c>
      <c r="BQ97" s="71" t="str">
        <f>IF(OR(COUNTBLANK(BT97)=1,ISERROR(BT97)),"",COUNT(BT4:BT97))</f>
        <v/>
      </c>
      <c r="BR97" s="7" t="e">
        <f t="shared" si="84"/>
        <v>#VALUE!</v>
      </c>
      <c r="BS97" s="1" t="str">
        <f t="shared" si="85"/>
        <v/>
      </c>
      <c r="BT97" s="79" t="e">
        <f>IF(IF(COUNTIF($BT$4:BT96,BT96)&gt;=MAX($D$4:$D$8),BT96+1,BT96)&gt;55,"",IF(COUNTIF($BT$4:BT96,BT96)&gt;=MAX($D$4:$D$8),BT96+1,BT96))</f>
        <v>#VALUE!</v>
      </c>
      <c r="BU97" s="1" t="e">
        <f t="shared" si="86"/>
        <v>#VALUE!</v>
      </c>
      <c r="BV97" s="8" t="str">
        <f t="shared" si="87"/>
        <v/>
      </c>
      <c r="BX97" s="71" t="e">
        <f t="shared" si="88"/>
        <v>#VALUE!</v>
      </c>
      <c r="BY97" s="71" t="str">
        <f>IF(OR(COUNTBLANK(CB97)=1,ISERROR(CB97)),"",COUNT($CB$4:CB97))</f>
        <v/>
      </c>
      <c r="BZ97" s="7" t="e">
        <f t="shared" si="89"/>
        <v>#VALUE!</v>
      </c>
      <c r="CA97" s="1" t="str">
        <f t="shared" si="90"/>
        <v/>
      </c>
      <c r="CB97" s="79" t="e">
        <f>IF(IF(COUNTIF($CB$4:CB96,CB95)&gt;=MAX($D$4:$D$8),CB95+2,CB95)&gt;55,"",IF(COUNTIF($CB$4:CB96,CB95)&gt;=MAX($D$4:$D$8),CB95+2,CB95))</f>
        <v>#VALUE!</v>
      </c>
      <c r="CC97" s="1" t="e">
        <f t="shared" si="91"/>
        <v>#VALUE!</v>
      </c>
      <c r="CD97" s="8" t="str">
        <f t="shared" si="92"/>
        <v/>
      </c>
      <c r="CF97" s="71" t="e">
        <f t="shared" si="105"/>
        <v>#VALUE!</v>
      </c>
      <c r="CG97" s="71" t="str">
        <f>IF(OR(COUNTBLANK(CJ97)=1,ISERROR(CJ97)),"",COUNT($CJ$4:CJ97))</f>
        <v/>
      </c>
      <c r="CH97" s="7" t="e">
        <f t="shared" si="106"/>
        <v>#VALUE!</v>
      </c>
      <c r="CI97" s="1" t="str">
        <f t="shared" si="107"/>
        <v/>
      </c>
      <c r="CJ97" s="79" t="e">
        <f>IF(IF(COUNTIF($CJ$4:CJ96,CJ94)&gt;=MAX($D$4:$D$8),CJ94+3,CJ94)&gt;55,"",IF(COUNTIF($CJ$4:CJ96,CJ94)&gt;=MAX($D$4:$D$8),CJ94+3,CJ94))</f>
        <v>#VALUE!</v>
      </c>
      <c r="CK97" s="1" t="e">
        <f t="shared" si="93"/>
        <v>#VALUE!</v>
      </c>
      <c r="CL97" s="8" t="str">
        <f t="shared" si="108"/>
        <v/>
      </c>
      <c r="CN97" s="71" t="e">
        <f t="shared" si="99"/>
        <v>#VALUE!</v>
      </c>
      <c r="CO97" s="71" t="str">
        <f>IF(OR(COUNTBLANK(CR97)=1,ISERROR(CR97)),"",COUNT($CR$4:CR97))</f>
        <v/>
      </c>
      <c r="CP97" s="7" t="e">
        <f t="shared" si="100"/>
        <v>#VALUE!</v>
      </c>
      <c r="CQ97" s="1" t="str">
        <f t="shared" si="101"/>
        <v/>
      </c>
      <c r="CR97" s="79" t="e">
        <f>IF(IF(COUNTIF($CR$4:CR96,CR93)&gt;=MAX($D$4:$D$8),CR93+4,CR93)&gt;55,"",IF(COUNTIF($CR$4:CR96,CR93)&gt;=MAX($D$4:$D$8),CR93+4,CR93))</f>
        <v>#VALUE!</v>
      </c>
      <c r="CS97" s="1" t="e">
        <f t="shared" si="94"/>
        <v>#VALUE!</v>
      </c>
      <c r="CT97" s="8" t="str">
        <f t="shared" si="102"/>
        <v/>
      </c>
      <c r="CV97" s="71" t="e">
        <f t="shared" si="109"/>
        <v>#VALUE!</v>
      </c>
      <c r="CW97" s="71" t="str">
        <f>IF(OR(COUNTBLANK(CZ97)=1,ISERROR(CZ97)),"",COUNT($CZ$4:CZ97))</f>
        <v/>
      </c>
      <c r="CX97" s="7" t="e">
        <f t="shared" si="110"/>
        <v>#VALUE!</v>
      </c>
      <c r="CY97" s="1" t="str">
        <f t="shared" si="111"/>
        <v/>
      </c>
      <c r="CZ97" s="79" t="e">
        <f>IF(IF(COUNTIF($CZ$4:CZ96,CZ92)&gt;=MAX($D$4:$D$8),CZ92+5,CZ92)&gt;55,"",IF(COUNTIF($CZ$4:CZ96,CZ92)&gt;=MAX($D$4:$D$8),CZ92+5,CZ92))</f>
        <v>#VALUE!</v>
      </c>
      <c r="DA97" s="1" t="e">
        <f t="shared" si="95"/>
        <v>#VALUE!</v>
      </c>
      <c r="DB97" s="8" t="str">
        <f t="shared" si="112"/>
        <v/>
      </c>
    </row>
    <row r="98" spans="5:106" x14ac:dyDescent="0.15">
      <c r="E98" s="1">
        <v>95</v>
      </c>
      <c r="F98" s="1">
        <f t="shared" si="96"/>
        <v>1</v>
      </c>
      <c r="G98" s="1">
        <f t="shared" si="103"/>
        <v>1</v>
      </c>
      <c r="H98" s="1">
        <f t="shared" si="97"/>
        <v>1</v>
      </c>
      <c r="I98" s="1">
        <f t="shared" si="98"/>
        <v>1</v>
      </c>
      <c r="J98" s="1">
        <f t="shared" si="104"/>
        <v>1</v>
      </c>
      <c r="L98" s="1" t="str">
        <f>IF(ISERROR(HLOOKUP($C$10,$F$3:$J$253,96,0)),"",HLOOKUP($C$10,$F$3:$J$253,96,0))</f>
        <v/>
      </c>
      <c r="N98" s="67"/>
      <c r="W98" s="71" t="e">
        <f>IF(AA98="","",AA98*10+5)</f>
        <v>#VALUE!</v>
      </c>
      <c r="X98" s="71" t="str">
        <f>IF(OR(COUNTBLANK(AA98)=1,ISERROR(AA98)),"",COUNT(AA4:AA98))</f>
        <v/>
      </c>
      <c r="Y98" s="7" t="e">
        <f t="shared" si="69"/>
        <v>#VALUE!</v>
      </c>
      <c r="Z98" s="1" t="str">
        <f t="shared" si="83"/>
        <v/>
      </c>
      <c r="AA98" s="79" t="e">
        <f>IF(IF(COUNTIF(AA4:AA97,AA97)&gt;=MAX(D4:D8),AA97+1,AA97)&gt;50,"",IF(COUNTIF(AA4:AA97,AA97)&gt;=MAX(D4:D8),AA97+1,AA97))</f>
        <v>#VALUE!</v>
      </c>
      <c r="AB98" s="1" t="e">
        <f>IF(AA98="","",VLOOKUP(AA98,S4:U53,3,0))</f>
        <v>#VALUE!</v>
      </c>
      <c r="AC98" s="8" t="str">
        <f t="shared" si="70"/>
        <v/>
      </c>
      <c r="AE98" s="71" t="e">
        <f t="shared" si="71"/>
        <v>#VALUE!</v>
      </c>
      <c r="AF98" s="71" t="str">
        <f>IF(OR(COUNTBLANK(AI98)=1,ISERROR(AI98)),"",COUNT(AI4:AI98))</f>
        <v/>
      </c>
      <c r="AG98" s="7" t="e">
        <f t="shared" si="72"/>
        <v>#VALUE!</v>
      </c>
      <c r="AH98" s="1" t="str">
        <f>IF(ISERROR(INDEX(C4:C8,MATCH(G98,D4:D8,0))),"",INDEX(C4:C8,MATCH(G98,D4:D8,0)))</f>
        <v/>
      </c>
      <c r="AI98" s="79" t="e">
        <f>IF(IF(COUNTIF(AI4:AI97,AI96)&gt;=MAX(D4:D8),AI96+2,AI96)&gt;50,"",IF(COUNTIF(AI4:AI97,AI96)&gt;=MAX(D4:D8),AI96+2,AI96))</f>
        <v>#VALUE!</v>
      </c>
      <c r="AJ98" s="1" t="e">
        <f>IF(AI98="","",VLOOKUP(AI98,S4:U53,3,0))</f>
        <v>#VALUE!</v>
      </c>
      <c r="AK98" s="8" t="str">
        <f t="shared" si="73"/>
        <v/>
      </c>
      <c r="AM98" s="71" t="e">
        <f t="shared" si="74"/>
        <v>#VALUE!</v>
      </c>
      <c r="AN98" s="71" t="str">
        <f>IF(OR(COUNTBLANK(AQ98)=1,ISERROR(AQ98)),"",COUNT(AQ4:AQ98))</f>
        <v/>
      </c>
      <c r="AO98" s="7" t="e">
        <f t="shared" si="75"/>
        <v>#VALUE!</v>
      </c>
      <c r="AP98" s="1" t="str">
        <f>IF(ISERROR(INDEX(C4:C8,MATCH(H98,D4:D8,0))),"",INDEX(C4:C8,MATCH(H98,D4:D8,0)))</f>
        <v/>
      </c>
      <c r="AQ98" s="79" t="e">
        <f>IF(IF(COUNTIF(AQ4:AQ97,AQ95)&gt;=MAX(D4:D8),AQ95+3,AQ95)&gt;50,"",IF(COUNTIF(AQ4:AQ97,AQ95)&gt;=MAX(D4:D8),AQ95+3,AQ95))</f>
        <v>#VALUE!</v>
      </c>
      <c r="AR98" s="1" t="e">
        <f>IF(AQ98="","",VLOOKUP(AQ98,S4:U53,3,0))</f>
        <v>#VALUE!</v>
      </c>
      <c r="AS98" s="8" t="str">
        <f t="shared" si="76"/>
        <v/>
      </c>
      <c r="AU98" s="71" t="e">
        <f t="shared" si="77"/>
        <v>#VALUE!</v>
      </c>
      <c r="AV98" s="71" t="str">
        <f>IF(OR(COUNTBLANK(AY98)=1,ISERROR(AY98)),"",COUNT(AY4:AY98))</f>
        <v/>
      </c>
      <c r="AW98" s="7" t="e">
        <f t="shared" si="78"/>
        <v>#VALUE!</v>
      </c>
      <c r="AX98" s="1" t="str">
        <f>IF(ISERROR(INDEX(C4:C8,MATCH(I98,D4:D8,0))),"",INDEX(C4:C8,MATCH(I98,D4:D8,0)))</f>
        <v/>
      </c>
      <c r="AY98" s="79" t="e">
        <f>IF(IF(COUNTIF(AY4:AY97,AY94)&gt;=MAX(D4:D8),AY94+4,AY94)&gt;50,"",IF(COUNTIF(AY4:AY97,AY94)&gt;=MAX(D4:D8),AY94+4,AY94))</f>
        <v>#VALUE!</v>
      </c>
      <c r="AZ98" s="76" t="e">
        <f>IF(AY98="","",VLOOKUP(AY98,S4:U53,3,0))</f>
        <v>#VALUE!</v>
      </c>
      <c r="BA98" s="8" t="str">
        <f t="shared" si="79"/>
        <v/>
      </c>
      <c r="BC98" s="71" t="e">
        <f t="shared" si="80"/>
        <v>#VALUE!</v>
      </c>
      <c r="BD98" s="71" t="str">
        <f>IF(OR(COUNTBLANK(BG98)=1,ISERROR(BG98)),"",COUNT(BG4:BG98))</f>
        <v/>
      </c>
      <c r="BE98" s="7" t="e">
        <f t="shared" si="81"/>
        <v>#VALUE!</v>
      </c>
      <c r="BF98" s="1" t="str">
        <f>IF(ISERROR(INDEX(C4:C8,MATCH(J98,D4:D8,0))),"",INDEX(C4:C8,MATCH(J98,D4:D8,0)))</f>
        <v/>
      </c>
      <c r="BG98" s="79" t="e">
        <f>IF(IF(COUNTIF(BG4:BG97,BG93)&gt;=MAX(D4:D8),BG93+5,BG93)&gt;50,"",IF(COUNTIF(BG4:BG97,BG93)&gt;=MAX(D4:D8),BG93+5,BG93))</f>
        <v>#VALUE!</v>
      </c>
      <c r="BH98" s="76" t="e">
        <f>IF(BG98="","",VLOOKUP(BG98,S4:U53,3,0))</f>
        <v>#VALUE!</v>
      </c>
      <c r="BI98" s="8" t="str">
        <f t="shared" si="82"/>
        <v/>
      </c>
      <c r="BP98" s="71" t="e">
        <f>IF(BT98="","",BT98*10+5)</f>
        <v>#VALUE!</v>
      </c>
      <c r="BQ98" s="71" t="str">
        <f>IF(OR(COUNTBLANK(BT98)=1,ISERROR(BT98)),"",COUNT(BT4:BT98))</f>
        <v/>
      </c>
      <c r="BR98" s="7" t="e">
        <f t="shared" si="84"/>
        <v>#VALUE!</v>
      </c>
      <c r="BS98" s="1" t="str">
        <f t="shared" si="85"/>
        <v/>
      </c>
      <c r="BT98" s="79" t="e">
        <f>IF(IF(COUNTIF($BT$4:BT97,BT97)&gt;=MAX($D$4:$D$8),BT97+1,BT97)&gt;55,"",IF(COUNTIF($BT$4:BT97,BT97)&gt;=MAX($D$4:$D$8),BT97+1,BT97))</f>
        <v>#VALUE!</v>
      </c>
      <c r="BU98" s="1" t="e">
        <f t="shared" si="86"/>
        <v>#VALUE!</v>
      </c>
      <c r="BV98" s="8" t="str">
        <f t="shared" si="87"/>
        <v/>
      </c>
      <c r="BX98" s="71" t="e">
        <f t="shared" si="88"/>
        <v>#VALUE!</v>
      </c>
      <c r="BY98" s="71" t="str">
        <f>IF(OR(COUNTBLANK(CB98)=1,ISERROR(CB98)),"",COUNT($CB$4:CB98))</f>
        <v/>
      </c>
      <c r="BZ98" s="7" t="e">
        <f t="shared" si="89"/>
        <v>#VALUE!</v>
      </c>
      <c r="CA98" s="1" t="str">
        <f t="shared" si="90"/>
        <v/>
      </c>
      <c r="CB98" s="79" t="e">
        <f>IF(IF(COUNTIF($CB$4:CB97,CB96)&gt;=MAX($D$4:$D$8),CB96+2,CB96)&gt;55,"",IF(COUNTIF($CB$4:CB97,CB96)&gt;=MAX($D$4:$D$8),CB96+2,CB96))</f>
        <v>#VALUE!</v>
      </c>
      <c r="CC98" s="1" t="e">
        <f t="shared" si="91"/>
        <v>#VALUE!</v>
      </c>
      <c r="CD98" s="8" t="str">
        <f t="shared" si="92"/>
        <v/>
      </c>
      <c r="CF98" s="71" t="e">
        <f t="shared" si="105"/>
        <v>#VALUE!</v>
      </c>
      <c r="CG98" s="71" t="str">
        <f>IF(OR(COUNTBLANK(CJ98)=1,ISERROR(CJ98)),"",COUNT($CJ$4:CJ98))</f>
        <v/>
      </c>
      <c r="CH98" s="7" t="e">
        <f t="shared" si="106"/>
        <v>#VALUE!</v>
      </c>
      <c r="CI98" s="1" t="str">
        <f t="shared" si="107"/>
        <v/>
      </c>
      <c r="CJ98" s="79" t="e">
        <f>IF(IF(COUNTIF($CJ$4:CJ97,CJ95)&gt;=MAX($D$4:$D$8),CJ95+3,CJ95)&gt;55,"",IF(COUNTIF($CJ$4:CJ97,CJ95)&gt;=MAX($D$4:$D$8),CJ95+3,CJ95))</f>
        <v>#VALUE!</v>
      </c>
      <c r="CK98" s="1" t="e">
        <f t="shared" si="93"/>
        <v>#VALUE!</v>
      </c>
      <c r="CL98" s="8" t="str">
        <f t="shared" si="108"/>
        <v/>
      </c>
      <c r="CN98" s="71" t="e">
        <f t="shared" si="99"/>
        <v>#VALUE!</v>
      </c>
      <c r="CO98" s="71" t="str">
        <f>IF(OR(COUNTBLANK(CR98)=1,ISERROR(CR98)),"",COUNT($CR$4:CR98))</f>
        <v/>
      </c>
      <c r="CP98" s="7" t="e">
        <f t="shared" si="100"/>
        <v>#VALUE!</v>
      </c>
      <c r="CQ98" s="1" t="str">
        <f t="shared" si="101"/>
        <v/>
      </c>
      <c r="CR98" s="79" t="e">
        <f>IF(IF(COUNTIF($CR$4:CR97,CR94)&gt;=MAX($D$4:$D$8),CR94+4,CR94)&gt;55,"",IF(COUNTIF($CR$4:CR97,CR94)&gt;=MAX($D$4:$D$8),CR94+4,CR94))</f>
        <v>#VALUE!</v>
      </c>
      <c r="CS98" s="1" t="e">
        <f t="shared" si="94"/>
        <v>#VALUE!</v>
      </c>
      <c r="CT98" s="8" t="str">
        <f t="shared" si="102"/>
        <v/>
      </c>
      <c r="CV98" s="71" t="e">
        <f t="shared" si="109"/>
        <v>#VALUE!</v>
      </c>
      <c r="CW98" s="71" t="str">
        <f>IF(OR(COUNTBLANK(CZ98)=1,ISERROR(CZ98)),"",COUNT($CZ$4:CZ98))</f>
        <v/>
      </c>
      <c r="CX98" s="7" t="e">
        <f t="shared" si="110"/>
        <v>#VALUE!</v>
      </c>
      <c r="CY98" s="1" t="str">
        <f t="shared" si="111"/>
        <v/>
      </c>
      <c r="CZ98" s="79" t="e">
        <f>IF(IF(COUNTIF($CZ$4:CZ97,CZ93)&gt;=MAX($D$4:$D$8),CZ93+5,CZ93)&gt;55,"",IF(COUNTIF($CZ$4:CZ97,CZ93)&gt;=MAX($D$4:$D$8),CZ93+5,CZ93))</f>
        <v>#VALUE!</v>
      </c>
      <c r="DA98" s="1" t="e">
        <f t="shared" si="95"/>
        <v>#VALUE!</v>
      </c>
      <c r="DB98" s="8" t="str">
        <f t="shared" si="112"/>
        <v/>
      </c>
    </row>
    <row r="99" spans="5:106" x14ac:dyDescent="0.15">
      <c r="E99" s="1">
        <v>96</v>
      </c>
      <c r="F99" s="1">
        <f t="shared" si="96"/>
        <v>1</v>
      </c>
      <c r="G99" s="1">
        <f t="shared" si="103"/>
        <v>1</v>
      </c>
      <c r="H99" s="1">
        <f t="shared" si="97"/>
        <v>1</v>
      </c>
      <c r="I99" s="1">
        <f t="shared" si="98"/>
        <v>1</v>
      </c>
      <c r="J99" s="1">
        <f t="shared" si="104"/>
        <v>1</v>
      </c>
      <c r="L99" s="1" t="str">
        <f>IF(ISERROR(HLOOKUP($C$10,$F$3:$J$253,97,0)),"",HLOOKUP($C$10,$F$3:$J$253,97,0))</f>
        <v/>
      </c>
      <c r="N99" s="67"/>
      <c r="W99" s="71" t="e">
        <f>IF(AA99="","",AA99*10+1)</f>
        <v>#VALUE!</v>
      </c>
      <c r="X99" s="71" t="str">
        <f>IF(OR(COUNTBLANK(AA99)=1,ISERROR(AA99)),"",COUNT(AA4:AA99))</f>
        <v/>
      </c>
      <c r="Y99" s="7" t="e">
        <f t="shared" si="69"/>
        <v>#VALUE!</v>
      </c>
      <c r="Z99" s="1" t="str">
        <f t="shared" si="83"/>
        <v/>
      </c>
      <c r="AA99" s="79" t="e">
        <f>IF(IF(COUNTIF(AA4:AA98,AA98)&gt;=MAX(D4:D8),AA98+1,AA98)&gt;50,"",IF(COUNTIF(AA4:AA98,AA98)&gt;=MAX(D4:D8),AA98+1,AA98))</f>
        <v>#VALUE!</v>
      </c>
      <c r="AB99" s="1" t="e">
        <f>IF(AA99="","",VLOOKUP(AA99,S4:U53,3,0))</f>
        <v>#VALUE!</v>
      </c>
      <c r="AC99" s="8" t="str">
        <f t="shared" si="70"/>
        <v/>
      </c>
      <c r="AE99" s="71" t="e">
        <f t="shared" si="71"/>
        <v>#VALUE!</v>
      </c>
      <c r="AF99" s="71" t="str">
        <f>IF(OR(COUNTBLANK(AI99)=1,ISERROR(AI99)),"",COUNT(AI4:AI99))</f>
        <v/>
      </c>
      <c r="AG99" s="7" t="e">
        <f t="shared" si="72"/>
        <v>#VALUE!</v>
      </c>
      <c r="AH99" s="1" t="str">
        <f>IF(ISERROR(INDEX(C4:C8,MATCH(G99,D4:D8,0))),"",INDEX(C4:C8,MATCH(G99,D4:D8,0)))</f>
        <v/>
      </c>
      <c r="AI99" s="79" t="e">
        <f>IF(IF(COUNTIF(AI4:AI97,AI97)&gt;=MAX(D4:D8),AI97+2,AI97)&gt;50,"",IF(COUNTIF(AI4:AI97,AI97)&gt;=MAX(D4:D8),AI97+2,AI97))</f>
        <v>#VALUE!</v>
      </c>
      <c r="AJ99" s="1" t="e">
        <f>IF(AI99="","",VLOOKUP(AI99,S4:U53,3,0))</f>
        <v>#VALUE!</v>
      </c>
      <c r="AK99" s="8" t="str">
        <f t="shared" si="73"/>
        <v/>
      </c>
      <c r="AM99" s="71" t="e">
        <f t="shared" si="74"/>
        <v>#VALUE!</v>
      </c>
      <c r="AN99" s="71" t="str">
        <f>IF(OR(COUNTBLANK(AQ99)=1,ISERROR(AQ99)),"",COUNT(AQ4:AQ99))</f>
        <v/>
      </c>
      <c r="AO99" s="7" t="e">
        <f t="shared" si="75"/>
        <v>#VALUE!</v>
      </c>
      <c r="AP99" s="1" t="str">
        <f>IF(ISERROR(INDEX(C4:C8,MATCH(H99,D4:D8,0))),"",INDEX(C4:C8,MATCH(H99,D4:D8,0)))</f>
        <v/>
      </c>
      <c r="AQ99" s="79" t="e">
        <f>IF(IF(COUNTIF(AQ4:AQ98,AQ96)&gt;=MAX(D4:D8),AQ96+3,AQ96)&gt;50,"",IF(COUNTIF(AQ4:AQ98,AQ96)&gt;=MAX(D4:D8),AQ96+3,AQ96))</f>
        <v>#VALUE!</v>
      </c>
      <c r="AR99" s="1" t="e">
        <f>IF(AQ99="","",VLOOKUP(AQ99,S4:U53,3,0))</f>
        <v>#VALUE!</v>
      </c>
      <c r="AS99" s="8" t="str">
        <f t="shared" si="76"/>
        <v/>
      </c>
      <c r="AU99" s="71" t="e">
        <f t="shared" si="77"/>
        <v>#VALUE!</v>
      </c>
      <c r="AV99" s="71" t="str">
        <f>IF(OR(COUNTBLANK(AY99)=1,ISERROR(AY99)),"",COUNT(AY4:AY99))</f>
        <v/>
      </c>
      <c r="AW99" s="7" t="e">
        <f t="shared" si="78"/>
        <v>#VALUE!</v>
      </c>
      <c r="AX99" s="1" t="str">
        <f>IF(ISERROR(INDEX(C4:C8,MATCH(I99,D4:D8,0))),"",INDEX(C4:C8,MATCH(I99,D4:D8,0)))</f>
        <v/>
      </c>
      <c r="AY99" s="79" t="e">
        <f>IF(IF(COUNTIF(AY4:AY98,AY95)&gt;=MAX(D4:D8),AY95+4,AY95)&gt;50,"",IF(COUNTIF(AY4:AY98,AY95)&gt;=MAX(D4:D8),AY95+4,AY95))</f>
        <v>#VALUE!</v>
      </c>
      <c r="AZ99" s="76" t="e">
        <f>IF(AY99="","",VLOOKUP(AY99,S4:U53,3,0))</f>
        <v>#VALUE!</v>
      </c>
      <c r="BA99" s="8" t="str">
        <f t="shared" si="79"/>
        <v/>
      </c>
      <c r="BC99" s="71" t="e">
        <f t="shared" si="80"/>
        <v>#VALUE!</v>
      </c>
      <c r="BD99" s="71" t="str">
        <f>IF(OR(COUNTBLANK(BG99)=1,ISERROR(BG99)),"",COUNT(BG4:BG99))</f>
        <v/>
      </c>
      <c r="BE99" s="7" t="e">
        <f t="shared" si="81"/>
        <v>#VALUE!</v>
      </c>
      <c r="BF99" s="1" t="str">
        <f>IF(ISERROR(INDEX(C4:C8,MATCH(J99,D4:D8,0))),"",INDEX(C4:C8,MATCH(J99,D4:D8,0)))</f>
        <v/>
      </c>
      <c r="BG99" s="79" t="e">
        <f>IF(IF(COUNTIF(BG4:BG98,BG94)&gt;=MAX(D4:D8),BG94+5,BG94)&gt;50,"",IF(COUNTIF(BG4:BG98,BG94)&gt;=MAX(D4:D8),BG94+5,BG94))</f>
        <v>#VALUE!</v>
      </c>
      <c r="BH99" s="76" t="e">
        <f>IF(BG99="","",VLOOKUP(BG99,S4:U53,3,0))</f>
        <v>#VALUE!</v>
      </c>
      <c r="BI99" s="8" t="str">
        <f t="shared" si="82"/>
        <v/>
      </c>
      <c r="BP99" s="71" t="e">
        <f>IF(BT99="","",BT99*10+1)</f>
        <v>#VALUE!</v>
      </c>
      <c r="BQ99" s="71" t="str">
        <f>IF(OR(COUNTBLANK(BT99)=1,ISERROR(BT99)),"",COUNT(BT4:BT99))</f>
        <v/>
      </c>
      <c r="BR99" s="7" t="e">
        <f t="shared" si="84"/>
        <v>#VALUE!</v>
      </c>
      <c r="BS99" s="1" t="str">
        <f t="shared" si="85"/>
        <v/>
      </c>
      <c r="BT99" s="79" t="e">
        <f>IF(IF(COUNTIF($BT$4:BT98,BT98)&gt;=MAX($D$4:$D$8),BT98+1,BT98)&gt;55,"",IF(COUNTIF($BT$4:BT98,BT98)&gt;=MAX($D$4:$D$8),BT98+1,BT98))</f>
        <v>#VALUE!</v>
      </c>
      <c r="BU99" s="1" t="e">
        <f t="shared" si="86"/>
        <v>#VALUE!</v>
      </c>
      <c r="BV99" s="8" t="str">
        <f t="shared" si="87"/>
        <v/>
      </c>
      <c r="BX99" s="71" t="e">
        <f t="shared" si="88"/>
        <v>#VALUE!</v>
      </c>
      <c r="BY99" s="71" t="str">
        <f>IF(OR(COUNTBLANK(CB99)=1,ISERROR(CB99)),"",COUNT($CB$4:CB99))</f>
        <v/>
      </c>
      <c r="BZ99" s="7" t="e">
        <f t="shared" si="89"/>
        <v>#VALUE!</v>
      </c>
      <c r="CA99" s="1" t="str">
        <f t="shared" si="90"/>
        <v/>
      </c>
      <c r="CB99" s="79" t="e">
        <f>IF(IF(COUNTIF($CB$4:CB98,CB97)&gt;=MAX($D$4:$D$8),CB97+2,CB97)&gt;55,"",IF(COUNTIF($CB$4:CB98,CB97)&gt;=MAX($D$4:$D$8),CB97+2,CB97))</f>
        <v>#VALUE!</v>
      </c>
      <c r="CC99" s="1" t="e">
        <f t="shared" si="91"/>
        <v>#VALUE!</v>
      </c>
      <c r="CD99" s="8" t="str">
        <f t="shared" si="92"/>
        <v/>
      </c>
      <c r="CF99" s="71" t="e">
        <f t="shared" si="105"/>
        <v>#VALUE!</v>
      </c>
      <c r="CG99" s="71" t="str">
        <f>IF(OR(COUNTBLANK(CJ99)=1,ISERROR(CJ99)),"",COUNT($CJ$4:CJ99))</f>
        <v/>
      </c>
      <c r="CH99" s="7" t="e">
        <f t="shared" si="106"/>
        <v>#VALUE!</v>
      </c>
      <c r="CI99" s="1" t="str">
        <f t="shared" si="107"/>
        <v/>
      </c>
      <c r="CJ99" s="79" t="e">
        <f>IF(IF(COUNTIF($CJ$4:CJ98,CJ96)&gt;=MAX($D$4:$D$8),CJ96+3,CJ96)&gt;55,"",IF(COUNTIF($CJ$4:CJ98,CJ96)&gt;=MAX($D$4:$D$8),CJ96+3,CJ96))</f>
        <v>#VALUE!</v>
      </c>
      <c r="CK99" s="1" t="e">
        <f t="shared" si="93"/>
        <v>#VALUE!</v>
      </c>
      <c r="CL99" s="8" t="str">
        <f t="shared" si="108"/>
        <v/>
      </c>
      <c r="CN99" s="71" t="e">
        <f t="shared" si="99"/>
        <v>#VALUE!</v>
      </c>
      <c r="CO99" s="71" t="str">
        <f>IF(OR(COUNTBLANK(CR99)=1,ISERROR(CR99)),"",COUNT($CR$4:CR99))</f>
        <v/>
      </c>
      <c r="CP99" s="7" t="e">
        <f t="shared" si="100"/>
        <v>#VALUE!</v>
      </c>
      <c r="CQ99" s="1" t="str">
        <f t="shared" si="101"/>
        <v/>
      </c>
      <c r="CR99" s="79" t="e">
        <f>IF(IF(COUNTIF($CR$4:CR98,CR95)&gt;=MAX($D$4:$D$8),CR95+4,CR95)&gt;55,"",IF(COUNTIF($CR$4:CR98,CR95)&gt;=MAX($D$4:$D$8),CR95+4,CR95))</f>
        <v>#VALUE!</v>
      </c>
      <c r="CS99" s="1" t="e">
        <f t="shared" si="94"/>
        <v>#VALUE!</v>
      </c>
      <c r="CT99" s="8" t="str">
        <f t="shared" si="102"/>
        <v/>
      </c>
      <c r="CV99" s="71" t="e">
        <f t="shared" si="109"/>
        <v>#VALUE!</v>
      </c>
      <c r="CW99" s="71" t="str">
        <f>IF(OR(COUNTBLANK(CZ99)=1,ISERROR(CZ99)),"",COUNT($CZ$4:CZ99))</f>
        <v/>
      </c>
      <c r="CX99" s="7" t="e">
        <f t="shared" si="110"/>
        <v>#VALUE!</v>
      </c>
      <c r="CY99" s="1" t="str">
        <f t="shared" si="111"/>
        <v/>
      </c>
      <c r="CZ99" s="79" t="e">
        <f>IF(IF(COUNTIF($CZ$4:CZ98,CZ94)&gt;=MAX($D$4:$D$8),CZ94+5,CZ94)&gt;55,"",IF(COUNTIF($CZ$4:CZ98,CZ94)&gt;=MAX($D$4:$D$8),CZ94+5,CZ94))</f>
        <v>#VALUE!</v>
      </c>
      <c r="DA99" s="1" t="e">
        <f t="shared" si="95"/>
        <v>#VALUE!</v>
      </c>
      <c r="DB99" s="8" t="str">
        <f t="shared" si="112"/>
        <v/>
      </c>
    </row>
    <row r="100" spans="5:106" x14ac:dyDescent="0.15">
      <c r="E100" s="1">
        <v>97</v>
      </c>
      <c r="F100" s="1">
        <f t="shared" si="96"/>
        <v>1</v>
      </c>
      <c r="G100" s="1">
        <f t="shared" si="103"/>
        <v>1</v>
      </c>
      <c r="H100" s="1">
        <f t="shared" si="97"/>
        <v>1</v>
      </c>
      <c r="I100" s="1">
        <f t="shared" si="98"/>
        <v>1</v>
      </c>
      <c r="J100" s="1">
        <f t="shared" si="104"/>
        <v>1</v>
      </c>
      <c r="L100" s="1" t="str">
        <f>IF(ISERROR(HLOOKUP($C$10,$F$3:$J$253,98,0)),"",HLOOKUP($C$10,$F$3:$J$253,98,0))</f>
        <v/>
      </c>
      <c r="N100" s="67"/>
      <c r="W100" s="71" t="e">
        <f>IF(AA100="","",AA100*10+2)</f>
        <v>#VALUE!</v>
      </c>
      <c r="X100" s="71" t="str">
        <f>IF(OR(COUNTBLANK(AA100)=1,ISERROR(AA100)),"",COUNT(AA4:AA100))</f>
        <v/>
      </c>
      <c r="Y100" s="7" t="e">
        <f t="shared" si="69"/>
        <v>#VALUE!</v>
      </c>
      <c r="Z100" s="1" t="str">
        <f t="shared" si="83"/>
        <v/>
      </c>
      <c r="AA100" s="79" t="e">
        <f>IF(IF(COUNTIF(AA4:AA99,AA99)&gt;=MAX(D4:D8),AA99+1,AA99)&gt;50,"",IF(COUNTIF(AA4:AA99,AA99)&gt;=MAX(D4:D8),AA99+1,AA99))</f>
        <v>#VALUE!</v>
      </c>
      <c r="AB100" s="1" t="e">
        <f>IF(AA100="","",VLOOKUP(AA100,S4:U53,3,0))</f>
        <v>#VALUE!</v>
      </c>
      <c r="AC100" s="8" t="str">
        <f t="shared" si="70"/>
        <v/>
      </c>
      <c r="AE100" s="71" t="e">
        <f t="shared" si="71"/>
        <v>#VALUE!</v>
      </c>
      <c r="AF100" s="71" t="str">
        <f>IF(OR(COUNTBLANK(AI100)=1,ISERROR(AI100)),"",COUNT(AI4:AI100))</f>
        <v/>
      </c>
      <c r="AG100" s="7" t="e">
        <f t="shared" si="72"/>
        <v>#VALUE!</v>
      </c>
      <c r="AH100" s="1" t="str">
        <f>IF(ISERROR(INDEX(C4:C8,MATCH(G100,D4:D8,0))),"",INDEX(C4:C8,MATCH(G100,D4:D8,0)))</f>
        <v/>
      </c>
      <c r="AI100" s="79" t="e">
        <f>IF(IF(COUNTIF(AI4:AI99,AI98)&gt;=MAX(D4:D8),AI98+2,AI98)&gt;50,"",IF(COUNTIF(AI4:AI99,AI98)&gt;=MAX(D4:D8),AI98+2,AI98))</f>
        <v>#VALUE!</v>
      </c>
      <c r="AJ100" s="1" t="e">
        <f>IF(AI100="","",VLOOKUP(AI100,S4:U53,3,0))</f>
        <v>#VALUE!</v>
      </c>
      <c r="AK100" s="8" t="str">
        <f t="shared" si="73"/>
        <v/>
      </c>
      <c r="AM100" s="71" t="e">
        <f t="shared" si="74"/>
        <v>#VALUE!</v>
      </c>
      <c r="AN100" s="71" t="str">
        <f>IF(OR(COUNTBLANK(AQ100)=1,ISERROR(AQ100)),"",COUNT(AQ4:AQ100))</f>
        <v/>
      </c>
      <c r="AO100" s="7" t="e">
        <f t="shared" si="75"/>
        <v>#VALUE!</v>
      </c>
      <c r="AP100" s="1" t="str">
        <f>IF(ISERROR(INDEX(C4:C8,MATCH(H100,D4:D8,0))),"",INDEX(C4:C8,MATCH(H100,D4:D8,0)))</f>
        <v/>
      </c>
      <c r="AQ100" s="79" t="e">
        <f>IF(IF(COUNTIF(AQ4:AQ99,AQ97)&gt;=MAX(D4:D8),AQ97+3,AQ97)&gt;50,"",IF(COUNTIF(AQ4:AQ99,AQ97)&gt;=MAX(D4:D8),AQ97+3,AQ97))</f>
        <v>#VALUE!</v>
      </c>
      <c r="AR100" s="1" t="e">
        <f>IF(AQ100="","",VLOOKUP(AQ100,S4:U53,3,0))</f>
        <v>#VALUE!</v>
      </c>
      <c r="AS100" s="8" t="str">
        <f t="shared" si="76"/>
        <v/>
      </c>
      <c r="AU100" s="71" t="e">
        <f t="shared" si="77"/>
        <v>#VALUE!</v>
      </c>
      <c r="AV100" s="71" t="str">
        <f>IF(OR(COUNTBLANK(AY100)=1,ISERROR(AY100)),"",COUNT(AY4:AY100))</f>
        <v/>
      </c>
      <c r="AW100" s="7" t="e">
        <f t="shared" si="78"/>
        <v>#VALUE!</v>
      </c>
      <c r="AX100" s="1" t="str">
        <f>IF(ISERROR(INDEX(C4:C8,MATCH(I100,D4:D8,0))),"",INDEX(C4:C8,MATCH(I100,D4:D8,0)))</f>
        <v/>
      </c>
      <c r="AY100" s="79" t="e">
        <f>IF(IF(COUNTIF(AY4:AY99,AY96)&gt;=MAX(D4:D8),AY96+4,AY96)&gt;50,"",IF(COUNTIF(AY4:AY99,AY96)&gt;=MAX(D4:D8),AY96+4,AY96))</f>
        <v>#VALUE!</v>
      </c>
      <c r="AZ100" s="76" t="e">
        <f>IF(AY100="","",VLOOKUP(AY100,S4:U53,3,0))</f>
        <v>#VALUE!</v>
      </c>
      <c r="BA100" s="8" t="str">
        <f t="shared" si="79"/>
        <v/>
      </c>
      <c r="BC100" s="71" t="e">
        <f t="shared" si="80"/>
        <v>#VALUE!</v>
      </c>
      <c r="BD100" s="71" t="str">
        <f>IF(OR(COUNTBLANK(BG100)=1,ISERROR(BG100)),"",COUNT(BG4:BG100))</f>
        <v/>
      </c>
      <c r="BE100" s="7" t="e">
        <f t="shared" si="81"/>
        <v>#VALUE!</v>
      </c>
      <c r="BF100" s="1" t="str">
        <f>IF(ISERROR(INDEX(C4:C8,MATCH(J100,D4:D8,0))),"",INDEX(C4:C8,MATCH(J100,D4:D8,0)))</f>
        <v/>
      </c>
      <c r="BG100" s="79" t="e">
        <f>IF(IF(COUNTIF(BG4:BG99,BG95)&gt;=MAX(D4:D8),BG95+5,BG95)&gt;50,"",IF(COUNTIF(BG4:BG99,BG95)&gt;=MAX(D4:D8),BG95+5,BG95))</f>
        <v>#VALUE!</v>
      </c>
      <c r="BH100" s="76" t="e">
        <f>IF(BG100="","",VLOOKUP(BG100,S4:U53,3,0))</f>
        <v>#VALUE!</v>
      </c>
      <c r="BI100" s="8" t="str">
        <f t="shared" si="82"/>
        <v/>
      </c>
      <c r="BP100" s="71" t="e">
        <f>IF(BT100="","",BT100*10+2)</f>
        <v>#VALUE!</v>
      </c>
      <c r="BQ100" s="71" t="str">
        <f>IF(OR(COUNTBLANK(BT100)=1,ISERROR(BT100)),"",COUNT(BT4:BT100))</f>
        <v/>
      </c>
      <c r="BR100" s="7" t="e">
        <f t="shared" si="84"/>
        <v>#VALUE!</v>
      </c>
      <c r="BS100" s="1" t="str">
        <f t="shared" si="85"/>
        <v/>
      </c>
      <c r="BT100" s="79" t="e">
        <f>IF(IF(COUNTIF($BT$4:BT99,BT99)&gt;=MAX($D$4:$D$8),BT99+1,BT99)&gt;55,"",IF(COUNTIF($BT$4:BT99,BT99)&gt;=MAX($D$4:$D$8),BT99+1,BT99))</f>
        <v>#VALUE!</v>
      </c>
      <c r="BU100" s="1" t="e">
        <f t="shared" si="86"/>
        <v>#VALUE!</v>
      </c>
      <c r="BV100" s="8" t="str">
        <f t="shared" si="87"/>
        <v/>
      </c>
      <c r="BX100" s="71" t="e">
        <f t="shared" si="88"/>
        <v>#VALUE!</v>
      </c>
      <c r="BY100" s="71" t="str">
        <f>IF(OR(COUNTBLANK(CB100)=1,ISERROR(CB100)),"",COUNT($CB$4:CB100))</f>
        <v/>
      </c>
      <c r="BZ100" s="7" t="e">
        <f t="shared" si="89"/>
        <v>#VALUE!</v>
      </c>
      <c r="CA100" s="1" t="str">
        <f t="shared" si="90"/>
        <v/>
      </c>
      <c r="CB100" s="79" t="e">
        <f>IF(IF(COUNTIF($CB$4:CB99,CB98)&gt;=MAX($D$4:$D$8),CB98+2,CB98)&gt;55,"",IF(COUNTIF($CB$4:CB99,CB98)&gt;=MAX($D$4:$D$8),CB98+2,CB98))</f>
        <v>#VALUE!</v>
      </c>
      <c r="CC100" s="1" t="e">
        <f t="shared" si="91"/>
        <v>#VALUE!</v>
      </c>
      <c r="CD100" s="8" t="str">
        <f t="shared" si="92"/>
        <v/>
      </c>
      <c r="CF100" s="71" t="e">
        <f t="shared" si="105"/>
        <v>#VALUE!</v>
      </c>
      <c r="CG100" s="71" t="str">
        <f>IF(OR(COUNTBLANK(CJ100)=1,ISERROR(CJ100)),"",COUNT($CJ$4:CJ100))</f>
        <v/>
      </c>
      <c r="CH100" s="7" t="e">
        <f t="shared" si="106"/>
        <v>#VALUE!</v>
      </c>
      <c r="CI100" s="1" t="str">
        <f t="shared" si="107"/>
        <v/>
      </c>
      <c r="CJ100" s="79" t="e">
        <f>IF(IF(COUNTIF($CJ$4:CJ99,CJ97)&gt;=MAX($D$4:$D$8),CJ97+3,CJ97)&gt;55,"",IF(COUNTIF($CJ$4:CJ99,CJ97)&gt;=MAX($D$4:$D$8),CJ97+3,CJ97))</f>
        <v>#VALUE!</v>
      </c>
      <c r="CK100" s="1" t="e">
        <f t="shared" si="93"/>
        <v>#VALUE!</v>
      </c>
      <c r="CL100" s="8" t="str">
        <f t="shared" si="108"/>
        <v/>
      </c>
      <c r="CN100" s="71" t="e">
        <f t="shared" si="99"/>
        <v>#VALUE!</v>
      </c>
      <c r="CO100" s="71" t="str">
        <f>IF(OR(COUNTBLANK(CR100)=1,ISERROR(CR100)),"",COUNT($CR$4:CR100))</f>
        <v/>
      </c>
      <c r="CP100" s="7" t="e">
        <f t="shared" si="100"/>
        <v>#VALUE!</v>
      </c>
      <c r="CQ100" s="1" t="str">
        <f t="shared" si="101"/>
        <v/>
      </c>
      <c r="CR100" s="79" t="e">
        <f>IF(IF(COUNTIF($CR$4:CR99,CR96)&gt;=MAX($D$4:$D$8),CR96+4,CR96)&gt;55,"",IF(COUNTIF($CR$4:CR99,CR96)&gt;=MAX($D$4:$D$8),CR96+4,CR96))</f>
        <v>#VALUE!</v>
      </c>
      <c r="CS100" s="1" t="e">
        <f t="shared" si="94"/>
        <v>#VALUE!</v>
      </c>
      <c r="CT100" s="8" t="str">
        <f t="shared" si="102"/>
        <v/>
      </c>
      <c r="CV100" s="71" t="e">
        <f t="shared" si="109"/>
        <v>#VALUE!</v>
      </c>
      <c r="CW100" s="71" t="str">
        <f>IF(OR(COUNTBLANK(CZ100)=1,ISERROR(CZ100)),"",COUNT($CZ$4:CZ100))</f>
        <v/>
      </c>
      <c r="CX100" s="7" t="e">
        <f t="shared" si="110"/>
        <v>#VALUE!</v>
      </c>
      <c r="CY100" s="1" t="str">
        <f t="shared" si="111"/>
        <v/>
      </c>
      <c r="CZ100" s="79" t="e">
        <f>IF(IF(COUNTIF($CZ$4:CZ99,CZ95)&gt;=MAX($D$4:$D$8),CZ95+5,CZ95)&gt;55,"",IF(COUNTIF($CZ$4:CZ99,CZ95)&gt;=MAX($D$4:$D$8),CZ95+5,CZ95))</f>
        <v>#VALUE!</v>
      </c>
      <c r="DA100" s="1" t="e">
        <f t="shared" si="95"/>
        <v>#VALUE!</v>
      </c>
      <c r="DB100" s="8" t="str">
        <f t="shared" si="112"/>
        <v/>
      </c>
    </row>
    <row r="101" spans="5:106" x14ac:dyDescent="0.15">
      <c r="E101" s="1">
        <v>98</v>
      </c>
      <c r="F101" s="1">
        <f t="shared" si="96"/>
        <v>1</v>
      </c>
      <c r="G101" s="1">
        <f t="shared" si="103"/>
        <v>1</v>
      </c>
      <c r="H101" s="1">
        <f t="shared" si="97"/>
        <v>1</v>
      </c>
      <c r="I101" s="1">
        <f t="shared" si="98"/>
        <v>1</v>
      </c>
      <c r="J101" s="1">
        <f t="shared" si="104"/>
        <v>1</v>
      </c>
      <c r="L101" s="1" t="str">
        <f>IF(ISERROR(HLOOKUP($C$10,$F$3:$J$253,99,0)),"",HLOOKUP($C$10,$F$3:$J$253,99,0))</f>
        <v/>
      </c>
      <c r="N101" s="67"/>
      <c r="W101" s="71" t="e">
        <f>IF(AA101="","",AA101*10+3)</f>
        <v>#VALUE!</v>
      </c>
      <c r="X101" s="71" t="str">
        <f>IF(OR(COUNTBLANK(AA101)=1,ISERROR(AA101)),"",COUNT(AA4:AA101))</f>
        <v/>
      </c>
      <c r="Y101" s="7" t="e">
        <f t="shared" si="69"/>
        <v>#VALUE!</v>
      </c>
      <c r="Z101" s="1" t="str">
        <f t="shared" si="83"/>
        <v/>
      </c>
      <c r="AA101" s="79" t="e">
        <f>IF(IF(COUNTIF(AA4:AA100,AA100)&gt;=MAX(D4:D8),AA100+1,AA100)&gt;50,"",IF(COUNTIF(AA4:AA100,AA100)&gt;=MAX(D4:D8),AA100+1,AA100))</f>
        <v>#VALUE!</v>
      </c>
      <c r="AB101" s="1" t="e">
        <f>IF(AA101="","",VLOOKUP(AA101,S4:U53,3,0))</f>
        <v>#VALUE!</v>
      </c>
      <c r="AC101" s="8" t="str">
        <f t="shared" si="70"/>
        <v/>
      </c>
      <c r="AE101" s="71" t="e">
        <f t="shared" si="71"/>
        <v>#VALUE!</v>
      </c>
      <c r="AF101" s="71" t="str">
        <f>IF(OR(COUNTBLANK(AI101)=1,ISERROR(AI101)),"",COUNT(AI4:AI101))</f>
        <v/>
      </c>
      <c r="AG101" s="7" t="e">
        <f t="shared" si="72"/>
        <v>#VALUE!</v>
      </c>
      <c r="AH101" s="1" t="str">
        <f>IF(ISERROR(INDEX(C4:C8,MATCH(G101,D4:D8,0))),"",INDEX(C4:C8,MATCH(G101,D4:D8,0)))</f>
        <v/>
      </c>
      <c r="AI101" s="79" t="e">
        <f>IF(IF(COUNTIF(AI4:AI99,AI99)&gt;=MAX(D4:D8),AI99+2,AI99)&gt;50,"",IF(COUNTIF(AI4:AI99,AI99)&gt;=MAX(D4:D8),AI99+2,AI99))</f>
        <v>#VALUE!</v>
      </c>
      <c r="AJ101" s="1" t="e">
        <f>IF(AI101="","",VLOOKUP(AI101,S4:U53,3,0))</f>
        <v>#VALUE!</v>
      </c>
      <c r="AK101" s="8" t="str">
        <f t="shared" si="73"/>
        <v/>
      </c>
      <c r="AM101" s="71" t="e">
        <f t="shared" si="74"/>
        <v>#VALUE!</v>
      </c>
      <c r="AN101" s="71" t="str">
        <f>IF(OR(COUNTBLANK(AQ101)=1,ISERROR(AQ101)),"",COUNT(AQ4:AQ101))</f>
        <v/>
      </c>
      <c r="AO101" s="7" t="e">
        <f t="shared" si="75"/>
        <v>#VALUE!</v>
      </c>
      <c r="AP101" s="1" t="str">
        <f>IF(ISERROR(INDEX(C4:C8,MATCH(H101,D4:D8,0))),"",INDEX(C4:C8,MATCH(H101,D4:D8,0)))</f>
        <v/>
      </c>
      <c r="AQ101" s="79" t="e">
        <f>IF(IF(COUNTIF(AQ4:AQ100,AQ98)&gt;=MAX(D4:D8),AQ98+3,AQ98)&gt;50,"",IF(COUNTIF(AQ4:AQ100,AQ98)&gt;=MAX(D4:D8),AQ98+3,AQ98))</f>
        <v>#VALUE!</v>
      </c>
      <c r="AR101" s="1" t="e">
        <f>IF(AQ101="","",VLOOKUP(AQ101,S4:U53,3,0))</f>
        <v>#VALUE!</v>
      </c>
      <c r="AS101" s="8" t="str">
        <f t="shared" si="76"/>
        <v/>
      </c>
      <c r="AU101" s="71" t="e">
        <f t="shared" si="77"/>
        <v>#VALUE!</v>
      </c>
      <c r="AV101" s="71" t="str">
        <f>IF(OR(COUNTBLANK(AY101)=1,ISERROR(AY101)),"",COUNT(AY4:AY101))</f>
        <v/>
      </c>
      <c r="AW101" s="7" t="e">
        <f t="shared" si="78"/>
        <v>#VALUE!</v>
      </c>
      <c r="AX101" s="1" t="str">
        <f>IF(ISERROR(INDEX(C4:C8,MATCH(I101,D4:D8,0))),"",INDEX(C4:C8,MATCH(I101,D4:D8,0)))</f>
        <v/>
      </c>
      <c r="AY101" s="79" t="e">
        <f>IF(IF(COUNTIF(AY4:AY100,AY97)&gt;=MAX(D4:D8),AY97+4,AY97)&gt;50,"",IF(COUNTIF(AY4:AY100,AY97)&gt;=MAX(D4:D8),AY97+4,AY97))</f>
        <v>#VALUE!</v>
      </c>
      <c r="AZ101" s="76" t="e">
        <f>IF(AY101="","",VLOOKUP(AY101,S4:U53,3,0))</f>
        <v>#VALUE!</v>
      </c>
      <c r="BA101" s="8" t="str">
        <f t="shared" si="79"/>
        <v/>
      </c>
      <c r="BC101" s="71" t="e">
        <f t="shared" si="80"/>
        <v>#VALUE!</v>
      </c>
      <c r="BD101" s="71" t="str">
        <f>IF(OR(COUNTBLANK(BG101)=1,ISERROR(BG101)),"",COUNT(BG4:BG101))</f>
        <v/>
      </c>
      <c r="BE101" s="7" t="e">
        <f t="shared" si="81"/>
        <v>#VALUE!</v>
      </c>
      <c r="BF101" s="1" t="str">
        <f>IF(ISERROR(INDEX(C4:C8,MATCH(J101,D4:D8,0))),"",INDEX(C4:C8,MATCH(J101,D4:D8,0)))</f>
        <v/>
      </c>
      <c r="BG101" s="79" t="e">
        <f>IF(IF(COUNTIF(BG4:BG100,BG96)&gt;=MAX(D4:D8),BG96+5,BG96)&gt;50,"",IF(COUNTIF(BG4:BG100,BG96)&gt;=MAX(D4:D8),BG96+5,BG96))</f>
        <v>#VALUE!</v>
      </c>
      <c r="BH101" s="76" t="e">
        <f>IF(BG101="","",VLOOKUP(BG101,S4:U53,3,0))</f>
        <v>#VALUE!</v>
      </c>
      <c r="BI101" s="8" t="str">
        <f t="shared" si="82"/>
        <v/>
      </c>
      <c r="BP101" s="71" t="e">
        <f>IF(BT101="","",BT101*10+3)</f>
        <v>#VALUE!</v>
      </c>
      <c r="BQ101" s="71" t="str">
        <f>IF(OR(COUNTBLANK(BT101)=1,ISERROR(BT101)),"",COUNT(BT4:BT101))</f>
        <v/>
      </c>
      <c r="BR101" s="7" t="e">
        <f t="shared" si="84"/>
        <v>#VALUE!</v>
      </c>
      <c r="BS101" s="1" t="str">
        <f t="shared" si="85"/>
        <v/>
      </c>
      <c r="BT101" s="79" t="e">
        <f>IF(IF(COUNTIF($BT$4:BT100,BT100)&gt;=MAX($D$4:$D$8),BT100+1,BT100)&gt;55,"",IF(COUNTIF($BT$4:BT100,BT100)&gt;=MAX($D$4:$D$8),BT100+1,BT100))</f>
        <v>#VALUE!</v>
      </c>
      <c r="BU101" s="1" t="e">
        <f t="shared" si="86"/>
        <v>#VALUE!</v>
      </c>
      <c r="BV101" s="8" t="str">
        <f t="shared" si="87"/>
        <v/>
      </c>
      <c r="BX101" s="71" t="e">
        <f t="shared" si="88"/>
        <v>#VALUE!</v>
      </c>
      <c r="BY101" s="71" t="str">
        <f>IF(OR(COUNTBLANK(CB101)=1,ISERROR(CB101)),"",COUNT($CB$4:CB101))</f>
        <v/>
      </c>
      <c r="BZ101" s="7" t="e">
        <f t="shared" si="89"/>
        <v>#VALUE!</v>
      </c>
      <c r="CA101" s="1" t="str">
        <f t="shared" si="90"/>
        <v/>
      </c>
      <c r="CB101" s="79" t="e">
        <f>IF(IF(COUNTIF($CB$4:CB100,CB99)&gt;=MAX($D$4:$D$8),CB99+2,CB99)&gt;55,"",IF(COUNTIF($CB$4:CB100,CB99)&gt;=MAX($D$4:$D$8),CB99+2,CB99))</f>
        <v>#VALUE!</v>
      </c>
      <c r="CC101" s="1" t="e">
        <f t="shared" si="91"/>
        <v>#VALUE!</v>
      </c>
      <c r="CD101" s="8" t="str">
        <f t="shared" si="92"/>
        <v/>
      </c>
      <c r="CF101" s="71" t="e">
        <f t="shared" si="105"/>
        <v>#VALUE!</v>
      </c>
      <c r="CG101" s="71" t="str">
        <f>IF(OR(COUNTBLANK(CJ101)=1,ISERROR(CJ101)),"",COUNT($CJ$4:CJ101))</f>
        <v/>
      </c>
      <c r="CH101" s="7" t="e">
        <f t="shared" si="106"/>
        <v>#VALUE!</v>
      </c>
      <c r="CI101" s="1" t="str">
        <f t="shared" si="107"/>
        <v/>
      </c>
      <c r="CJ101" s="79" t="e">
        <f>IF(IF(COUNTIF($CJ$4:CJ100,CJ98)&gt;=MAX($D$4:$D$8),CJ98+3,CJ98)&gt;55,"",IF(COUNTIF($CJ$4:CJ100,CJ98)&gt;=MAX($D$4:$D$8),CJ98+3,CJ98))</f>
        <v>#VALUE!</v>
      </c>
      <c r="CK101" s="1" t="e">
        <f t="shared" si="93"/>
        <v>#VALUE!</v>
      </c>
      <c r="CL101" s="8" t="str">
        <f t="shared" si="108"/>
        <v/>
      </c>
      <c r="CN101" s="71" t="e">
        <f t="shared" si="99"/>
        <v>#VALUE!</v>
      </c>
      <c r="CO101" s="71" t="str">
        <f>IF(OR(COUNTBLANK(CR101)=1,ISERROR(CR101)),"",COUNT($CR$4:CR101))</f>
        <v/>
      </c>
      <c r="CP101" s="7" t="e">
        <f t="shared" si="100"/>
        <v>#VALUE!</v>
      </c>
      <c r="CQ101" s="1" t="str">
        <f t="shared" si="101"/>
        <v/>
      </c>
      <c r="CR101" s="79" t="e">
        <f>IF(IF(COUNTIF($CR$4:CR100,CR97)&gt;=MAX($D$4:$D$8),CR97+4,CR97)&gt;55,"",IF(COUNTIF($CR$4:CR100,CR97)&gt;=MAX($D$4:$D$8),CR97+4,CR97))</f>
        <v>#VALUE!</v>
      </c>
      <c r="CS101" s="1" t="e">
        <f t="shared" si="94"/>
        <v>#VALUE!</v>
      </c>
      <c r="CT101" s="8" t="str">
        <f t="shared" si="102"/>
        <v/>
      </c>
      <c r="CV101" s="71" t="e">
        <f t="shared" si="109"/>
        <v>#VALUE!</v>
      </c>
      <c r="CW101" s="71" t="str">
        <f>IF(OR(COUNTBLANK(CZ101)=1,ISERROR(CZ101)),"",COUNT($CZ$4:CZ101))</f>
        <v/>
      </c>
      <c r="CX101" s="7" t="e">
        <f t="shared" si="110"/>
        <v>#VALUE!</v>
      </c>
      <c r="CY101" s="1" t="str">
        <f t="shared" si="111"/>
        <v/>
      </c>
      <c r="CZ101" s="79" t="e">
        <f>IF(IF(COUNTIF($CZ$4:CZ100,CZ96)&gt;=MAX($D$4:$D$8),CZ96+5,CZ96)&gt;55,"",IF(COUNTIF($CZ$4:CZ100,CZ96)&gt;=MAX($D$4:$D$8),CZ96+5,CZ96))</f>
        <v>#VALUE!</v>
      </c>
      <c r="DA101" s="1" t="e">
        <f t="shared" si="95"/>
        <v>#VALUE!</v>
      </c>
      <c r="DB101" s="8" t="str">
        <f t="shared" si="112"/>
        <v/>
      </c>
    </row>
    <row r="102" spans="5:106" x14ac:dyDescent="0.15">
      <c r="E102" s="1">
        <v>99</v>
      </c>
      <c r="F102" s="1">
        <f t="shared" si="96"/>
        <v>1</v>
      </c>
      <c r="G102" s="1">
        <f t="shared" si="103"/>
        <v>1</v>
      </c>
      <c r="H102" s="1">
        <f t="shared" si="97"/>
        <v>1</v>
      </c>
      <c r="I102" s="1">
        <f t="shared" si="98"/>
        <v>1</v>
      </c>
      <c r="J102" s="1">
        <f t="shared" si="104"/>
        <v>1</v>
      </c>
      <c r="L102" s="1" t="str">
        <f>IF(ISERROR(HLOOKUP($C$10,$F$3:$J$253,100,0)),"",HLOOKUP($C$10,$F$3:$J$253,100,0))</f>
        <v/>
      </c>
      <c r="N102" s="67"/>
      <c r="W102" s="71" t="e">
        <f>IF(AA102="","",AA102*10+4)</f>
        <v>#VALUE!</v>
      </c>
      <c r="X102" s="71" t="str">
        <f>IF(OR(COUNTBLANK(AA102)=1,ISERROR(AA102)),"",COUNT(AA4:AA102))</f>
        <v/>
      </c>
      <c r="Y102" s="7" t="e">
        <f t="shared" si="69"/>
        <v>#VALUE!</v>
      </c>
      <c r="Z102" s="1" t="str">
        <f t="shared" si="83"/>
        <v/>
      </c>
      <c r="AA102" s="79" t="e">
        <f>IF(IF(COUNTIF(AA4:AA101,AA101)&gt;=MAX(D4:D8),AA101+1,AA101)&gt;50,"",IF(COUNTIF(AA4:AA101,AA101)&gt;=MAX(D4:D8),AA101+1,AA101))</f>
        <v>#VALUE!</v>
      </c>
      <c r="AB102" s="1" t="e">
        <f>IF(AA102="","",VLOOKUP(AA102,S4:U53,3,0))</f>
        <v>#VALUE!</v>
      </c>
      <c r="AC102" s="8" t="str">
        <f t="shared" si="70"/>
        <v/>
      </c>
      <c r="AE102" s="71" t="e">
        <f t="shared" si="71"/>
        <v>#VALUE!</v>
      </c>
      <c r="AF102" s="71" t="str">
        <f>IF(OR(COUNTBLANK(AI102)=1,ISERROR(AI102)),"",COUNT(AI4:AI102))</f>
        <v/>
      </c>
      <c r="AG102" s="7" t="e">
        <f t="shared" si="72"/>
        <v>#VALUE!</v>
      </c>
      <c r="AH102" s="1" t="str">
        <f>IF(ISERROR(INDEX(C4:C8,MATCH(G102,D4:D8,0))),"",INDEX(C4:C8,MATCH(G102,D4:D8,0)))</f>
        <v/>
      </c>
      <c r="AI102" s="79" t="e">
        <f>IF(IF(COUNTIF(AI4:AI101,AI100)&gt;=MAX(D4:D8),AI100+2,AI100)&gt;50,"",IF(COUNTIF(AI4:AI101,AI100)&gt;=MAX(D4:D8),AI100+2,AI100))</f>
        <v>#VALUE!</v>
      </c>
      <c r="AJ102" s="1" t="e">
        <f>IF(AI102="","",VLOOKUP(AI102,S4:U53,3,0))</f>
        <v>#VALUE!</v>
      </c>
      <c r="AK102" s="8" t="str">
        <f t="shared" si="73"/>
        <v/>
      </c>
      <c r="AM102" s="71" t="e">
        <f t="shared" si="74"/>
        <v>#VALUE!</v>
      </c>
      <c r="AN102" s="71" t="str">
        <f>IF(OR(COUNTBLANK(AQ102)=1,ISERROR(AQ102)),"",COUNT(AQ4:AQ102))</f>
        <v/>
      </c>
      <c r="AO102" s="7" t="e">
        <f t="shared" si="75"/>
        <v>#VALUE!</v>
      </c>
      <c r="AP102" s="1" t="str">
        <f>IF(ISERROR(INDEX(C4:C8,MATCH(H102,D4:D8,0))),"",INDEX(C4:C8,MATCH(H102,D4:D8,0)))</f>
        <v/>
      </c>
      <c r="AQ102" s="79" t="e">
        <f>IF(IF(COUNTIF(AQ4:AQ101,AQ99)&gt;=MAX(D4:D8),AQ99+3,AQ99)&gt;50,"",IF(COUNTIF(AQ4:AQ101,AQ99)&gt;=MAX(D4:D8),AQ99+3,AQ99))</f>
        <v>#VALUE!</v>
      </c>
      <c r="AR102" s="1" t="e">
        <f>IF(AQ102="","",VLOOKUP(AQ102,S4:U53,3,0))</f>
        <v>#VALUE!</v>
      </c>
      <c r="AS102" s="8" t="str">
        <f t="shared" si="76"/>
        <v/>
      </c>
      <c r="AU102" s="71" t="e">
        <f t="shared" si="77"/>
        <v>#VALUE!</v>
      </c>
      <c r="AV102" s="71" t="str">
        <f>IF(OR(COUNTBLANK(AY102)=1,ISERROR(AY102)),"",COUNT(AY4:AY102))</f>
        <v/>
      </c>
      <c r="AW102" s="7" t="e">
        <f t="shared" si="78"/>
        <v>#VALUE!</v>
      </c>
      <c r="AX102" s="1" t="str">
        <f>IF(ISERROR(INDEX(C4:C8,MATCH(I102,D4:D8,0))),"",INDEX(C4:C8,MATCH(I102,D4:D8,0)))</f>
        <v/>
      </c>
      <c r="AY102" s="79" t="e">
        <f>IF(IF(COUNTIF(AY4:AY101,AY98)&gt;=MAX(D4:D8),AY98+4,AY98)&gt;50,"",IF(COUNTIF(AY4:AY101,AY98)&gt;=MAX(D4:D8),AY98+4,AY98))</f>
        <v>#VALUE!</v>
      </c>
      <c r="AZ102" s="76" t="e">
        <f>IF(AY102="","",VLOOKUP(AY102,S4:U53,3,0))</f>
        <v>#VALUE!</v>
      </c>
      <c r="BA102" s="8" t="str">
        <f t="shared" si="79"/>
        <v/>
      </c>
      <c r="BC102" s="71" t="e">
        <f t="shared" si="80"/>
        <v>#VALUE!</v>
      </c>
      <c r="BD102" s="71" t="str">
        <f>IF(OR(COUNTBLANK(BG102)=1,ISERROR(BG102)),"",COUNT(BG4:BG102))</f>
        <v/>
      </c>
      <c r="BE102" s="7" t="e">
        <f t="shared" si="81"/>
        <v>#VALUE!</v>
      </c>
      <c r="BF102" s="1" t="str">
        <f>IF(ISERROR(INDEX(C4:C8,MATCH(J102,D4:D8,0))),"",INDEX(C4:C8,MATCH(J102,D4:D8,0)))</f>
        <v/>
      </c>
      <c r="BG102" s="79" t="e">
        <f>IF(IF(COUNTIF(BG4:BG101,BG97)&gt;=MAX(D4:D8),BG97+5,BG97)&gt;50,"",IF(COUNTIF(BG4:BG101,BG97)&gt;=MAX(D4:D8),BG97+5,BG97))</f>
        <v>#VALUE!</v>
      </c>
      <c r="BH102" s="76" t="e">
        <f>IF(BG102="","",VLOOKUP(BG102,S4:U53,3,0))</f>
        <v>#VALUE!</v>
      </c>
      <c r="BI102" s="8" t="str">
        <f t="shared" si="82"/>
        <v/>
      </c>
      <c r="BP102" s="71" t="e">
        <f>IF(BT102="","",BT102*10+4)</f>
        <v>#VALUE!</v>
      </c>
      <c r="BQ102" s="71" t="str">
        <f>IF(OR(COUNTBLANK(BT102)=1,ISERROR(BT102)),"",COUNT(BT4:BT102))</f>
        <v/>
      </c>
      <c r="BR102" s="7" t="e">
        <f t="shared" si="84"/>
        <v>#VALUE!</v>
      </c>
      <c r="BS102" s="1" t="str">
        <f t="shared" si="85"/>
        <v/>
      </c>
      <c r="BT102" s="79" t="e">
        <f>IF(IF(COUNTIF($BT$4:BT101,BT101)&gt;=MAX($D$4:$D$8),BT101+1,BT101)&gt;55,"",IF(COUNTIF($BT$4:BT101,BT101)&gt;=MAX($D$4:$D$8),BT101+1,BT101))</f>
        <v>#VALUE!</v>
      </c>
      <c r="BU102" s="1" t="e">
        <f t="shared" si="86"/>
        <v>#VALUE!</v>
      </c>
      <c r="BV102" s="8" t="str">
        <f t="shared" si="87"/>
        <v/>
      </c>
      <c r="BX102" s="71" t="e">
        <f t="shared" si="88"/>
        <v>#VALUE!</v>
      </c>
      <c r="BY102" s="71" t="str">
        <f>IF(OR(COUNTBLANK(CB102)=1,ISERROR(CB102)),"",COUNT($CB$4:CB102))</f>
        <v/>
      </c>
      <c r="BZ102" s="7" t="e">
        <f t="shared" si="89"/>
        <v>#VALUE!</v>
      </c>
      <c r="CA102" s="1" t="str">
        <f t="shared" si="90"/>
        <v/>
      </c>
      <c r="CB102" s="79" t="e">
        <f>IF(IF(COUNTIF($CB$4:CB101,CB100)&gt;=MAX($D$4:$D$8),CB100+2,CB100)&gt;55,"",IF(COUNTIF($CB$4:CB101,CB100)&gt;=MAX($D$4:$D$8),CB100+2,CB100))</f>
        <v>#VALUE!</v>
      </c>
      <c r="CC102" s="1" t="e">
        <f t="shared" si="91"/>
        <v>#VALUE!</v>
      </c>
      <c r="CD102" s="8" t="str">
        <f t="shared" si="92"/>
        <v/>
      </c>
      <c r="CF102" s="71" t="e">
        <f t="shared" si="105"/>
        <v>#VALUE!</v>
      </c>
      <c r="CG102" s="71" t="str">
        <f>IF(OR(COUNTBLANK(CJ102)=1,ISERROR(CJ102)),"",COUNT($CJ$4:CJ102))</f>
        <v/>
      </c>
      <c r="CH102" s="7" t="e">
        <f t="shared" si="106"/>
        <v>#VALUE!</v>
      </c>
      <c r="CI102" s="1" t="str">
        <f t="shared" si="107"/>
        <v/>
      </c>
      <c r="CJ102" s="79" t="e">
        <f>IF(IF(COUNTIF($CJ$4:CJ101,CJ99)&gt;=MAX($D$4:$D$8),CJ99+3,CJ99)&gt;55,"",IF(COUNTIF($CJ$4:CJ101,CJ99)&gt;=MAX($D$4:$D$8),CJ99+3,CJ99))</f>
        <v>#VALUE!</v>
      </c>
      <c r="CK102" s="1" t="e">
        <f t="shared" si="93"/>
        <v>#VALUE!</v>
      </c>
      <c r="CL102" s="8" t="str">
        <f t="shared" si="108"/>
        <v/>
      </c>
      <c r="CN102" s="71" t="e">
        <f t="shared" si="99"/>
        <v>#VALUE!</v>
      </c>
      <c r="CO102" s="71" t="str">
        <f>IF(OR(COUNTBLANK(CR102)=1,ISERROR(CR102)),"",COUNT($CR$4:CR102))</f>
        <v/>
      </c>
      <c r="CP102" s="7" t="e">
        <f t="shared" si="100"/>
        <v>#VALUE!</v>
      </c>
      <c r="CQ102" s="1" t="str">
        <f t="shared" si="101"/>
        <v/>
      </c>
      <c r="CR102" s="79" t="e">
        <f>IF(IF(COUNTIF($CR$4:CR101,CR98)&gt;=MAX($D$4:$D$8),CR98+4,CR98)&gt;55,"",IF(COUNTIF($CR$4:CR101,CR98)&gt;=MAX($D$4:$D$8),CR98+4,CR98))</f>
        <v>#VALUE!</v>
      </c>
      <c r="CS102" s="1" t="e">
        <f t="shared" si="94"/>
        <v>#VALUE!</v>
      </c>
      <c r="CT102" s="8" t="str">
        <f t="shared" si="102"/>
        <v/>
      </c>
      <c r="CV102" s="71" t="e">
        <f t="shared" si="109"/>
        <v>#VALUE!</v>
      </c>
      <c r="CW102" s="71" t="str">
        <f>IF(OR(COUNTBLANK(CZ102)=1,ISERROR(CZ102)),"",COUNT($CZ$4:CZ102))</f>
        <v/>
      </c>
      <c r="CX102" s="7" t="e">
        <f t="shared" si="110"/>
        <v>#VALUE!</v>
      </c>
      <c r="CY102" s="1" t="str">
        <f t="shared" si="111"/>
        <v/>
      </c>
      <c r="CZ102" s="79" t="e">
        <f>IF(IF(COUNTIF($CZ$4:CZ101,CZ97)&gt;=MAX($D$4:$D$8),CZ97+5,CZ97)&gt;55,"",IF(COUNTIF($CZ$4:CZ101,CZ97)&gt;=MAX($D$4:$D$8),CZ97+5,CZ97))</f>
        <v>#VALUE!</v>
      </c>
      <c r="DA102" s="1" t="e">
        <f t="shared" si="95"/>
        <v>#VALUE!</v>
      </c>
      <c r="DB102" s="8" t="str">
        <f t="shared" si="112"/>
        <v/>
      </c>
    </row>
    <row r="103" spans="5:106" x14ac:dyDescent="0.15">
      <c r="E103" s="1">
        <v>100</v>
      </c>
      <c r="F103" s="1">
        <f t="shared" si="96"/>
        <v>1</v>
      </c>
      <c r="G103" s="1">
        <f t="shared" si="103"/>
        <v>1</v>
      </c>
      <c r="H103" s="1">
        <f t="shared" si="97"/>
        <v>1</v>
      </c>
      <c r="I103" s="1">
        <f t="shared" si="98"/>
        <v>1</v>
      </c>
      <c r="J103" s="1">
        <f t="shared" si="104"/>
        <v>1</v>
      </c>
      <c r="L103" s="1" t="str">
        <f>IF(ISERROR(HLOOKUP($C$10,$F$3:$J$253,101,0)),"",HLOOKUP($C$10,$F$3:$J$253,101,0))</f>
        <v/>
      </c>
      <c r="N103" s="67"/>
      <c r="W103" s="71" t="e">
        <f>IF(AA103="","",AA103*10+5)</f>
        <v>#VALUE!</v>
      </c>
      <c r="X103" s="71" t="str">
        <f>IF(OR(COUNTBLANK(AA103)=1,ISERROR(AA103)),"",COUNT(AA4:AA103))</f>
        <v/>
      </c>
      <c r="Y103" s="7" t="e">
        <f t="shared" si="69"/>
        <v>#VALUE!</v>
      </c>
      <c r="Z103" s="1" t="str">
        <f t="shared" si="83"/>
        <v/>
      </c>
      <c r="AA103" s="79" t="e">
        <f>IF(IF(COUNTIF(AA4:AA102,AA102)&gt;=MAX(D4:D8),AA102+1,AA102)&gt;50,"",IF(COUNTIF(AA4:AA102,AA102)&gt;=MAX(D4:D8),AA102+1,AA102))</f>
        <v>#VALUE!</v>
      </c>
      <c r="AB103" s="1" t="e">
        <f>IF(AA103="","",VLOOKUP(AA103,S4:U53,3,0))</f>
        <v>#VALUE!</v>
      </c>
      <c r="AC103" s="8" t="str">
        <f t="shared" si="70"/>
        <v/>
      </c>
      <c r="AE103" s="71" t="e">
        <f t="shared" si="71"/>
        <v>#VALUE!</v>
      </c>
      <c r="AF103" s="71" t="str">
        <f>IF(OR(COUNTBLANK(AI103)=1,ISERROR(AI103)),"",COUNT(AI4:AI103))</f>
        <v/>
      </c>
      <c r="AG103" s="7" t="e">
        <f t="shared" si="72"/>
        <v>#VALUE!</v>
      </c>
      <c r="AH103" s="1" t="str">
        <f>IF(ISERROR(INDEX(C4:C8,MATCH(G103,D4:D8,0))),"",INDEX(C4:C8,MATCH(G103,D4:D8,0)))</f>
        <v/>
      </c>
      <c r="AI103" s="79" t="e">
        <f>IF(IF(COUNTIF(AI4:AI101,AI101)&gt;=MAX(D4:D8),AI101+2,AI101)&gt;50,"",IF(COUNTIF(AI4:AI101,AI101)&gt;=MAX(D4:D8),AI101+2,AI101))</f>
        <v>#VALUE!</v>
      </c>
      <c r="AJ103" s="1" t="e">
        <f>IF(AI103="","",VLOOKUP(AI103,S4:U53,3,0))</f>
        <v>#VALUE!</v>
      </c>
      <c r="AK103" s="8" t="str">
        <f t="shared" si="73"/>
        <v/>
      </c>
      <c r="AM103" s="71" t="e">
        <f t="shared" si="74"/>
        <v>#VALUE!</v>
      </c>
      <c r="AN103" s="71" t="str">
        <f>IF(OR(COUNTBLANK(AQ103)=1,ISERROR(AQ103)),"",COUNT(AQ4:AQ103))</f>
        <v/>
      </c>
      <c r="AO103" s="7" t="e">
        <f t="shared" si="75"/>
        <v>#VALUE!</v>
      </c>
      <c r="AP103" s="1" t="str">
        <f>IF(ISERROR(INDEX(C4:C8,MATCH(H103,D4:D8,0))),"",INDEX(C4:C8,MATCH(H103,D4:D8,0)))</f>
        <v/>
      </c>
      <c r="AQ103" s="79" t="e">
        <f>IF(IF(COUNTIF(AQ4:AQ102,AQ100)&gt;=MAX(D4:D8),AQ100+3,AQ100)&gt;50,"",IF(COUNTIF(AQ4:AQ102,AQ100)&gt;=MAX(D4:D8),AQ100+3,AQ100))</f>
        <v>#VALUE!</v>
      </c>
      <c r="AR103" s="1" t="e">
        <f>IF(AQ103="","",VLOOKUP(AQ103,S4:U53,3,0))</f>
        <v>#VALUE!</v>
      </c>
      <c r="AS103" s="8" t="str">
        <f t="shared" si="76"/>
        <v/>
      </c>
      <c r="AU103" s="71" t="e">
        <f t="shared" si="77"/>
        <v>#VALUE!</v>
      </c>
      <c r="AV103" s="71" t="str">
        <f>IF(OR(COUNTBLANK(AY103)=1,ISERROR(AY103)),"",COUNT(AY4:AY103))</f>
        <v/>
      </c>
      <c r="AW103" s="7" t="e">
        <f t="shared" si="78"/>
        <v>#VALUE!</v>
      </c>
      <c r="AX103" s="1" t="str">
        <f>IF(ISERROR(INDEX(C4:C8,MATCH(I103,D4:D8,0))),"",INDEX(C4:C8,MATCH(I103,D4:D8,0)))</f>
        <v/>
      </c>
      <c r="AY103" s="79" t="e">
        <f>IF(IF(COUNTIF(AY4:AY102,AY99)&gt;=MAX(D4:D8),AY99+4,AY99)&gt;50,"",IF(COUNTIF(AY4:AY102,AY99)&gt;=MAX(D4:D8),AY99+4,AY99))</f>
        <v>#VALUE!</v>
      </c>
      <c r="AZ103" s="76" t="e">
        <f>IF(AY103="","",VLOOKUP(AY103,S4:U53,3,0))</f>
        <v>#VALUE!</v>
      </c>
      <c r="BA103" s="8" t="str">
        <f t="shared" si="79"/>
        <v/>
      </c>
      <c r="BC103" s="71" t="e">
        <f t="shared" si="80"/>
        <v>#VALUE!</v>
      </c>
      <c r="BD103" s="71" t="str">
        <f>IF(OR(COUNTBLANK(BG103)=1,ISERROR(BG103)),"",COUNT(BG4:BG103))</f>
        <v/>
      </c>
      <c r="BE103" s="7" t="e">
        <f t="shared" si="81"/>
        <v>#VALUE!</v>
      </c>
      <c r="BF103" s="1" t="str">
        <f>IF(ISERROR(INDEX(C4:C8,MATCH(J103,D4:D8,0))),"",INDEX(C4:C8,MATCH(J103,D4:D8,0)))</f>
        <v/>
      </c>
      <c r="BG103" s="79" t="e">
        <f>IF(IF(COUNTIF(BG4:BG102,BG98)&gt;=MAX(D4:D8),BG98+5,BG98)&gt;50,"",IF(COUNTIF(BG4:BG102,BG98)&gt;=MAX(D4:D8),BG98+5,BG98))</f>
        <v>#VALUE!</v>
      </c>
      <c r="BH103" s="76" t="e">
        <f>IF(BG103="","",VLOOKUP(BG103,S4:U53,3,0))</f>
        <v>#VALUE!</v>
      </c>
      <c r="BI103" s="8" t="str">
        <f t="shared" si="82"/>
        <v/>
      </c>
      <c r="BP103" s="71" t="e">
        <f>IF(BT103="","",BT103*10+5)</f>
        <v>#VALUE!</v>
      </c>
      <c r="BQ103" s="71" t="str">
        <f>IF(OR(COUNTBLANK(BT103)=1,ISERROR(BT103)),"",COUNT(BT4:BT103))</f>
        <v/>
      </c>
      <c r="BR103" s="7" t="e">
        <f t="shared" si="84"/>
        <v>#VALUE!</v>
      </c>
      <c r="BS103" s="1" t="str">
        <f t="shared" si="85"/>
        <v/>
      </c>
      <c r="BT103" s="79" t="e">
        <f>IF(IF(COUNTIF($BT$4:BT102,BT102)&gt;=MAX($D$4:$D$8),BT102+1,BT102)&gt;55,"",IF(COUNTIF($BT$4:BT102,BT102)&gt;=MAX($D$4:$D$8),BT102+1,BT102))</f>
        <v>#VALUE!</v>
      </c>
      <c r="BU103" s="1" t="e">
        <f t="shared" si="86"/>
        <v>#VALUE!</v>
      </c>
      <c r="BV103" s="8" t="str">
        <f t="shared" si="87"/>
        <v/>
      </c>
      <c r="BX103" s="71" t="e">
        <f t="shared" si="88"/>
        <v>#VALUE!</v>
      </c>
      <c r="BY103" s="71" t="str">
        <f>IF(OR(COUNTBLANK(CB103)=1,ISERROR(CB103)),"",COUNT($CB$4:CB103))</f>
        <v/>
      </c>
      <c r="BZ103" s="7" t="e">
        <f t="shared" si="89"/>
        <v>#VALUE!</v>
      </c>
      <c r="CA103" s="1" t="str">
        <f t="shared" si="90"/>
        <v/>
      </c>
      <c r="CB103" s="79" t="e">
        <f>IF(IF(COUNTIF($CB$4:CB102,CB101)&gt;=MAX($D$4:$D$8),CB101+2,CB101)&gt;55,"",IF(COUNTIF($CB$4:CB102,CB101)&gt;=MAX($D$4:$D$8),CB101+2,CB101))</f>
        <v>#VALUE!</v>
      </c>
      <c r="CC103" s="1" t="e">
        <f t="shared" si="91"/>
        <v>#VALUE!</v>
      </c>
      <c r="CD103" s="8" t="str">
        <f t="shared" si="92"/>
        <v/>
      </c>
      <c r="CF103" s="71" t="e">
        <f t="shared" si="105"/>
        <v>#VALUE!</v>
      </c>
      <c r="CG103" s="71" t="str">
        <f>IF(OR(COUNTBLANK(CJ103)=1,ISERROR(CJ103)),"",COUNT($CJ$4:CJ103))</f>
        <v/>
      </c>
      <c r="CH103" s="7" t="e">
        <f t="shared" si="106"/>
        <v>#VALUE!</v>
      </c>
      <c r="CI103" s="1" t="str">
        <f t="shared" si="107"/>
        <v/>
      </c>
      <c r="CJ103" s="79" t="e">
        <f>IF(IF(COUNTIF($CJ$4:CJ102,CJ100)&gt;=MAX($D$4:$D$8),CJ100+3,CJ100)&gt;55,"",IF(COUNTIF($CJ$4:CJ102,CJ100)&gt;=MAX($D$4:$D$8),CJ100+3,CJ100))</f>
        <v>#VALUE!</v>
      </c>
      <c r="CK103" s="1" t="e">
        <f t="shared" si="93"/>
        <v>#VALUE!</v>
      </c>
      <c r="CL103" s="8" t="str">
        <f t="shared" si="108"/>
        <v/>
      </c>
      <c r="CN103" s="71" t="e">
        <f t="shared" si="99"/>
        <v>#VALUE!</v>
      </c>
      <c r="CO103" s="71" t="str">
        <f>IF(OR(COUNTBLANK(CR103)=1,ISERROR(CR103)),"",COUNT($CR$4:CR103))</f>
        <v/>
      </c>
      <c r="CP103" s="7" t="e">
        <f t="shared" si="100"/>
        <v>#VALUE!</v>
      </c>
      <c r="CQ103" s="1" t="str">
        <f t="shared" si="101"/>
        <v/>
      </c>
      <c r="CR103" s="79" t="e">
        <f>IF(IF(COUNTIF($CR$4:CR102,CR99)&gt;=MAX($D$4:$D$8),CR99+4,CR99)&gt;55,"",IF(COUNTIF($CR$4:CR102,CR99)&gt;=MAX($D$4:$D$8),CR99+4,CR99))</f>
        <v>#VALUE!</v>
      </c>
      <c r="CS103" s="1" t="e">
        <f t="shared" si="94"/>
        <v>#VALUE!</v>
      </c>
      <c r="CT103" s="8" t="str">
        <f t="shared" si="102"/>
        <v/>
      </c>
      <c r="CV103" s="71" t="e">
        <f t="shared" si="109"/>
        <v>#VALUE!</v>
      </c>
      <c r="CW103" s="71" t="str">
        <f>IF(OR(COUNTBLANK(CZ103)=1,ISERROR(CZ103)),"",COUNT($CZ$4:CZ103))</f>
        <v/>
      </c>
      <c r="CX103" s="7" t="e">
        <f t="shared" si="110"/>
        <v>#VALUE!</v>
      </c>
      <c r="CY103" s="1" t="str">
        <f t="shared" si="111"/>
        <v/>
      </c>
      <c r="CZ103" s="79" t="e">
        <f>IF(IF(COUNTIF($CZ$4:CZ102,CZ98)&gt;=MAX($D$4:$D$8),CZ98+5,CZ98)&gt;55,"",IF(COUNTIF($CZ$4:CZ102,CZ98)&gt;=MAX($D$4:$D$8),CZ98+5,CZ98))</f>
        <v>#VALUE!</v>
      </c>
      <c r="DA103" s="1" t="e">
        <f t="shared" si="95"/>
        <v>#VALUE!</v>
      </c>
      <c r="DB103" s="8" t="str">
        <f t="shared" si="112"/>
        <v/>
      </c>
    </row>
    <row r="104" spans="5:106" x14ac:dyDescent="0.15">
      <c r="E104" s="1">
        <v>101</v>
      </c>
      <c r="F104" s="1">
        <f t="shared" si="96"/>
        <v>1</v>
      </c>
      <c r="G104" s="1">
        <f t="shared" si="103"/>
        <v>1</v>
      </c>
      <c r="H104" s="1">
        <f t="shared" si="97"/>
        <v>1</v>
      </c>
      <c r="I104" s="1">
        <f t="shared" si="98"/>
        <v>1</v>
      </c>
      <c r="J104" s="1">
        <f t="shared" si="104"/>
        <v>1</v>
      </c>
      <c r="L104" s="1" t="str">
        <f>IF(ISERROR(HLOOKUP($C$10,$F$3:$J$253,102,0)),"",HLOOKUP($C$10,$F$3:$J$253,102,0))</f>
        <v/>
      </c>
      <c r="N104" s="67"/>
      <c r="W104" s="71" t="e">
        <f>IF(AA104="","",AA104*10+1)</f>
        <v>#VALUE!</v>
      </c>
      <c r="X104" s="71" t="str">
        <f>IF(OR(COUNTBLANK(AA104)=1,ISERROR(AA104)),"",COUNT(AA4:AA104))</f>
        <v/>
      </c>
      <c r="Y104" s="7" t="e">
        <f t="shared" si="69"/>
        <v>#VALUE!</v>
      </c>
      <c r="Z104" s="1" t="str">
        <f t="shared" si="83"/>
        <v/>
      </c>
      <c r="AA104" s="79" t="e">
        <f>IF(IF(COUNTIF(AA4:AA103,AA103)&gt;=MAX(D4:D8),AA103+1,AA103)&gt;50,"",IF(COUNTIF(AA4:AA103,AA103)&gt;=MAX(D4:D8),AA103+1,AA103))</f>
        <v>#VALUE!</v>
      </c>
      <c r="AB104" s="1" t="e">
        <f>IF(AA104="","",VLOOKUP(AA104,S4:U53,3,0))</f>
        <v>#VALUE!</v>
      </c>
      <c r="AC104" s="8" t="str">
        <f t="shared" si="70"/>
        <v/>
      </c>
      <c r="AE104" s="71" t="e">
        <f t="shared" si="71"/>
        <v>#VALUE!</v>
      </c>
      <c r="AF104" s="71" t="str">
        <f>IF(OR(COUNTBLANK(AI104)=1,ISERROR(AI104)),"",COUNT(AI4:AI104))</f>
        <v/>
      </c>
      <c r="AG104" s="7" t="e">
        <f t="shared" si="72"/>
        <v>#VALUE!</v>
      </c>
      <c r="AH104" s="1" t="str">
        <f>IF(ISERROR(INDEX(C4:C8,MATCH(G104,D4:D8,0))),"",INDEX(C4:C8,MATCH(G104,D4:D8,0)))</f>
        <v/>
      </c>
      <c r="AI104" s="79" t="e">
        <f>IF(IF(COUNTIF(AI4:AI103,AI102)&gt;=MAX(D4:D8),AI102+2,AI102)&gt;50,"",IF(COUNTIF(AI4:AI103,AI102)&gt;=MAX(D4:D8),AI102+2,AI102))</f>
        <v>#VALUE!</v>
      </c>
      <c r="AJ104" s="1" t="e">
        <f>IF(AI104="","",VLOOKUP(AI104,S4:U53,3,0))</f>
        <v>#VALUE!</v>
      </c>
      <c r="AK104" s="8" t="str">
        <f t="shared" si="73"/>
        <v/>
      </c>
      <c r="AM104" s="71" t="e">
        <f t="shared" si="74"/>
        <v>#VALUE!</v>
      </c>
      <c r="AN104" s="71" t="str">
        <f>IF(OR(COUNTBLANK(AQ104)=1,ISERROR(AQ104)),"",COUNT(AQ4:AQ104))</f>
        <v/>
      </c>
      <c r="AO104" s="7" t="e">
        <f t="shared" si="75"/>
        <v>#VALUE!</v>
      </c>
      <c r="AP104" s="1" t="str">
        <f>IF(ISERROR(INDEX(C4:C8,MATCH(H104,D4:D8,0))),"",INDEX(C4:C8,MATCH(H104,D4:D8,0)))</f>
        <v/>
      </c>
      <c r="AQ104" s="79" t="e">
        <f>IF(IF(COUNTIF(AQ4:AQ103,AQ101)&gt;=MAX(D4:D8),AQ101+3,AQ101)&gt;50,"",IF(COUNTIF(AQ4:AQ103,AQ101)&gt;=MAX(D4:D8),AQ101+3,AQ101))</f>
        <v>#VALUE!</v>
      </c>
      <c r="AR104" s="1" t="e">
        <f>IF(AQ104="","",VLOOKUP(AQ104,S4:U53,3,0))</f>
        <v>#VALUE!</v>
      </c>
      <c r="AS104" s="8" t="str">
        <f t="shared" si="76"/>
        <v/>
      </c>
      <c r="AU104" s="71" t="e">
        <f t="shared" si="77"/>
        <v>#VALUE!</v>
      </c>
      <c r="AV104" s="71" t="str">
        <f>IF(OR(COUNTBLANK(AY104)=1,ISERROR(AY104)),"",COUNT(AY4:AY104))</f>
        <v/>
      </c>
      <c r="AW104" s="7" t="e">
        <f t="shared" si="78"/>
        <v>#VALUE!</v>
      </c>
      <c r="AX104" s="1" t="str">
        <f>IF(ISERROR(INDEX(C4:C8,MATCH(I104,D4:D8,0))),"",INDEX(C4:C8,MATCH(I104,D4:D8,0)))</f>
        <v/>
      </c>
      <c r="AY104" s="79" t="e">
        <f>IF(IF(COUNTIF(AY4:AY103,AY100)&gt;=MAX(D4:D8),AY100+4,AY100)&gt;50,"",IF(COUNTIF(AY4:AY103,AY100)&gt;=MAX(D4:D8),AY100+4,AY100))</f>
        <v>#VALUE!</v>
      </c>
      <c r="AZ104" s="76" t="e">
        <f>IF(AY104="","",VLOOKUP(AY104,S4:U53,3,0))</f>
        <v>#VALUE!</v>
      </c>
      <c r="BA104" s="8" t="str">
        <f t="shared" si="79"/>
        <v/>
      </c>
      <c r="BC104" s="71" t="e">
        <f t="shared" si="80"/>
        <v>#VALUE!</v>
      </c>
      <c r="BD104" s="71" t="str">
        <f>IF(OR(COUNTBLANK(BG104)=1,ISERROR(BG104)),"",COUNT(BG4:BG104))</f>
        <v/>
      </c>
      <c r="BE104" s="7" t="e">
        <f t="shared" si="81"/>
        <v>#VALUE!</v>
      </c>
      <c r="BF104" s="1" t="str">
        <f>IF(ISERROR(INDEX(C4:C8,MATCH(J104,D4:D8,0))),"",INDEX(C4:C8,MATCH(J104,D4:D8,0)))</f>
        <v/>
      </c>
      <c r="BG104" s="79" t="e">
        <f>IF(IF(COUNTIF(BG4:BG103,BG99)&gt;=MAX(D4:D8),BG99+5,BG99)&gt;50,"",IF(COUNTIF(BG4:BG103,BG99)&gt;=MAX(D4:D8),BG99+5,BG99))</f>
        <v>#VALUE!</v>
      </c>
      <c r="BH104" s="76" t="e">
        <f>IF(BG104="","",VLOOKUP(BG104,S4:U53,3,0))</f>
        <v>#VALUE!</v>
      </c>
      <c r="BI104" s="8" t="str">
        <f t="shared" si="82"/>
        <v/>
      </c>
      <c r="BP104" s="71" t="e">
        <f>IF(BT104="","",BT104*10+1)</f>
        <v>#VALUE!</v>
      </c>
      <c r="BQ104" s="71" t="str">
        <f>IF(OR(COUNTBLANK(BT104)=1,ISERROR(BT104)),"",COUNT(BT4:BT104))</f>
        <v/>
      </c>
      <c r="BR104" s="7" t="e">
        <f t="shared" si="84"/>
        <v>#VALUE!</v>
      </c>
      <c r="BS104" s="1" t="str">
        <f t="shared" si="85"/>
        <v/>
      </c>
      <c r="BT104" s="79" t="e">
        <f>IF(IF(COUNTIF($BT$4:BT103,BT103)&gt;=MAX($D$4:$D$8),BT103+1,BT103)&gt;55,"",IF(COUNTIF($BT$4:BT103,BT103)&gt;=MAX($D$4:$D$8),BT103+1,BT103))</f>
        <v>#VALUE!</v>
      </c>
      <c r="BU104" s="1" t="e">
        <f t="shared" si="86"/>
        <v>#VALUE!</v>
      </c>
      <c r="BV104" s="8" t="str">
        <f t="shared" si="87"/>
        <v/>
      </c>
      <c r="BX104" s="71" t="e">
        <f t="shared" si="88"/>
        <v>#VALUE!</v>
      </c>
      <c r="BY104" s="71" t="str">
        <f>IF(OR(COUNTBLANK(CB104)=1,ISERROR(CB104)),"",COUNT($CB$4:CB104))</f>
        <v/>
      </c>
      <c r="BZ104" s="7" t="e">
        <f t="shared" si="89"/>
        <v>#VALUE!</v>
      </c>
      <c r="CA104" s="1" t="str">
        <f t="shared" si="90"/>
        <v/>
      </c>
      <c r="CB104" s="79" t="e">
        <f>IF(IF(COUNTIF($CB$4:CB103,CB102)&gt;=MAX($D$4:$D$8),CB102+2,CB102)&gt;55,"",IF(COUNTIF($CB$4:CB103,CB102)&gt;=MAX($D$4:$D$8),CB102+2,CB102))</f>
        <v>#VALUE!</v>
      </c>
      <c r="CC104" s="1" t="e">
        <f t="shared" si="91"/>
        <v>#VALUE!</v>
      </c>
      <c r="CD104" s="8" t="str">
        <f t="shared" si="92"/>
        <v/>
      </c>
      <c r="CF104" s="71" t="e">
        <f t="shared" si="105"/>
        <v>#VALUE!</v>
      </c>
      <c r="CG104" s="71" t="str">
        <f>IF(OR(COUNTBLANK(CJ104)=1,ISERROR(CJ104)),"",COUNT($CJ$4:CJ104))</f>
        <v/>
      </c>
      <c r="CH104" s="7" t="e">
        <f t="shared" si="106"/>
        <v>#VALUE!</v>
      </c>
      <c r="CI104" s="1" t="str">
        <f t="shared" si="107"/>
        <v/>
      </c>
      <c r="CJ104" s="79" t="e">
        <f>IF(IF(COUNTIF($CJ$4:CJ103,CJ101)&gt;=MAX($D$4:$D$8),CJ101+3,CJ101)&gt;55,"",IF(COUNTIF($CJ$4:CJ103,CJ101)&gt;=MAX($D$4:$D$8),CJ101+3,CJ101))</f>
        <v>#VALUE!</v>
      </c>
      <c r="CK104" s="1" t="e">
        <f t="shared" si="93"/>
        <v>#VALUE!</v>
      </c>
      <c r="CL104" s="8" t="str">
        <f t="shared" si="108"/>
        <v/>
      </c>
      <c r="CN104" s="71" t="e">
        <f t="shared" si="99"/>
        <v>#VALUE!</v>
      </c>
      <c r="CO104" s="71" t="str">
        <f>IF(OR(COUNTBLANK(CR104)=1,ISERROR(CR104)),"",COUNT($CR$4:CR104))</f>
        <v/>
      </c>
      <c r="CP104" s="7" t="e">
        <f t="shared" si="100"/>
        <v>#VALUE!</v>
      </c>
      <c r="CQ104" s="1" t="str">
        <f t="shared" si="101"/>
        <v/>
      </c>
      <c r="CR104" s="79" t="e">
        <f>IF(IF(COUNTIF($CR$4:CR103,CR100)&gt;=MAX($D$4:$D$8),CR100+4,CR100)&gt;55,"",IF(COUNTIF($CR$4:CR103,CR100)&gt;=MAX($D$4:$D$8),CR100+4,CR100))</f>
        <v>#VALUE!</v>
      </c>
      <c r="CS104" s="1" t="e">
        <f t="shared" si="94"/>
        <v>#VALUE!</v>
      </c>
      <c r="CT104" s="8" t="str">
        <f t="shared" si="102"/>
        <v/>
      </c>
      <c r="CV104" s="71" t="e">
        <f t="shared" si="109"/>
        <v>#VALUE!</v>
      </c>
      <c r="CW104" s="71" t="str">
        <f>IF(OR(COUNTBLANK(CZ104)=1,ISERROR(CZ104)),"",COUNT($CZ$4:CZ104))</f>
        <v/>
      </c>
      <c r="CX104" s="7" t="e">
        <f t="shared" si="110"/>
        <v>#VALUE!</v>
      </c>
      <c r="CY104" s="1" t="str">
        <f t="shared" si="111"/>
        <v/>
      </c>
      <c r="CZ104" s="79" t="e">
        <f>IF(IF(COUNTIF($CZ$4:CZ103,CZ99)&gt;=MAX($D$4:$D$8),CZ99+5,CZ99)&gt;55,"",IF(COUNTIF($CZ$4:CZ103,CZ99)&gt;=MAX($D$4:$D$8),CZ99+5,CZ99))</f>
        <v>#VALUE!</v>
      </c>
      <c r="DA104" s="1" t="e">
        <f t="shared" si="95"/>
        <v>#VALUE!</v>
      </c>
      <c r="DB104" s="8" t="str">
        <f t="shared" si="112"/>
        <v/>
      </c>
    </row>
    <row r="105" spans="5:106" x14ac:dyDescent="0.15">
      <c r="E105" s="1">
        <v>102</v>
      </c>
      <c r="F105" s="1">
        <f t="shared" si="96"/>
        <v>1</v>
      </c>
      <c r="G105" s="1">
        <f t="shared" si="103"/>
        <v>1</v>
      </c>
      <c r="H105" s="1">
        <f t="shared" si="97"/>
        <v>1</v>
      </c>
      <c r="I105" s="1">
        <f t="shared" si="98"/>
        <v>1</v>
      </c>
      <c r="J105" s="1">
        <f t="shared" si="104"/>
        <v>1</v>
      </c>
      <c r="L105" s="1" t="str">
        <f>IF(ISERROR(HLOOKUP($C$10,$F$3:$J$253,103,0)),"",HLOOKUP($C$10,$F$3:$J$253,103,0))</f>
        <v/>
      </c>
      <c r="N105" s="67"/>
      <c r="W105" s="71" t="e">
        <f>IF(AA105="","",AA105*10+2)</f>
        <v>#VALUE!</v>
      </c>
      <c r="X105" s="71" t="str">
        <f>IF(OR(COUNTBLANK(AA105)=1,ISERROR(AA105)),"",COUNT(AA4:AA105))</f>
        <v/>
      </c>
      <c r="Y105" s="7" t="e">
        <f t="shared" si="69"/>
        <v>#VALUE!</v>
      </c>
      <c r="Z105" s="1" t="str">
        <f t="shared" si="83"/>
        <v/>
      </c>
      <c r="AA105" s="79" t="e">
        <f>IF(IF(COUNTIF(AA4:AA104,AA104)&gt;=MAX(D4:D8),AA104+1,AA104)&gt;50,"",IF(COUNTIF(AA4:AA104,AA104)&gt;=MAX(D4:D8),AA104+1,AA104))</f>
        <v>#VALUE!</v>
      </c>
      <c r="AB105" s="1" t="e">
        <f>IF(AA105="","",VLOOKUP(AA105,S4:U53,3,0))</f>
        <v>#VALUE!</v>
      </c>
      <c r="AC105" s="8" t="str">
        <f t="shared" si="70"/>
        <v/>
      </c>
      <c r="AE105" s="71" t="e">
        <f t="shared" si="71"/>
        <v>#VALUE!</v>
      </c>
      <c r="AF105" s="71" t="str">
        <f>IF(OR(COUNTBLANK(AI105)=1,ISERROR(AI105)),"",COUNT(AI4:AI105))</f>
        <v/>
      </c>
      <c r="AG105" s="7" t="e">
        <f t="shared" si="72"/>
        <v>#VALUE!</v>
      </c>
      <c r="AH105" s="1" t="str">
        <f>IF(ISERROR(INDEX(C4:C8,MATCH(G105,D4:D8,0))),"",INDEX(C4:C8,MATCH(G105,D4:D8,0)))</f>
        <v/>
      </c>
      <c r="AI105" s="79" t="e">
        <f>IF(IF(COUNTIF(AI4:AI103,AI103)&gt;=MAX(D4:D8),AI103+2,AI103)&gt;50,"",IF(COUNTIF(AI4:AI103,AI103)&gt;=MAX(D4:D8),AI103+2,AI103))</f>
        <v>#VALUE!</v>
      </c>
      <c r="AJ105" s="1" t="e">
        <f>IF(AI105="","",VLOOKUP(AI105,S4:U53,3,0))</f>
        <v>#VALUE!</v>
      </c>
      <c r="AK105" s="8" t="str">
        <f t="shared" si="73"/>
        <v/>
      </c>
      <c r="AM105" s="71" t="e">
        <f t="shared" si="74"/>
        <v>#VALUE!</v>
      </c>
      <c r="AN105" s="71" t="str">
        <f>IF(OR(COUNTBLANK(AQ105)=1,ISERROR(AQ105)),"",COUNT(AQ4:AQ105))</f>
        <v/>
      </c>
      <c r="AO105" s="7" t="e">
        <f t="shared" si="75"/>
        <v>#VALUE!</v>
      </c>
      <c r="AP105" s="1" t="str">
        <f>IF(ISERROR(INDEX(C4:C8,MATCH(H105,D4:D8,0))),"",INDEX(C4:C8,MATCH(H105,D4:D8,0)))</f>
        <v/>
      </c>
      <c r="AQ105" s="79" t="e">
        <f>IF(IF(COUNTIF(AQ4:AQ104,AQ102)&gt;=MAX(D4:D8),AQ102+3,AQ102)&gt;50,"",IF(COUNTIF(AQ4:AQ104,AQ102)&gt;=MAX(D4:D8),AQ102+3,AQ102))</f>
        <v>#VALUE!</v>
      </c>
      <c r="AR105" s="1" t="e">
        <f>IF(AQ105="","",VLOOKUP(AQ105,S4:U53,3,0))</f>
        <v>#VALUE!</v>
      </c>
      <c r="AS105" s="8" t="str">
        <f t="shared" si="76"/>
        <v/>
      </c>
      <c r="AU105" s="71" t="e">
        <f t="shared" si="77"/>
        <v>#VALUE!</v>
      </c>
      <c r="AV105" s="71" t="str">
        <f>IF(OR(COUNTBLANK(AY105)=1,ISERROR(AY105)),"",COUNT(AY4:AY105))</f>
        <v/>
      </c>
      <c r="AW105" s="7" t="e">
        <f t="shared" si="78"/>
        <v>#VALUE!</v>
      </c>
      <c r="AX105" s="1" t="str">
        <f>IF(ISERROR(INDEX(C4:C8,MATCH(I105,D4:D8,0))),"",INDEX(C4:C8,MATCH(I105,D4:D8,0)))</f>
        <v/>
      </c>
      <c r="AY105" s="79" t="e">
        <f>IF(IF(COUNTIF(AY4:AY104,AY101)&gt;=MAX(D4:D8),AY101+4,AY101)&gt;50,"",IF(COUNTIF(AY4:AY104,AY101)&gt;=MAX(D4:D8),AY101+4,AY101))</f>
        <v>#VALUE!</v>
      </c>
      <c r="AZ105" s="76" t="e">
        <f>IF(AY105="","",VLOOKUP(AY105,S4:U53,3,0))</f>
        <v>#VALUE!</v>
      </c>
      <c r="BA105" s="8" t="str">
        <f t="shared" si="79"/>
        <v/>
      </c>
      <c r="BC105" s="71" t="e">
        <f t="shared" si="80"/>
        <v>#VALUE!</v>
      </c>
      <c r="BD105" s="71" t="str">
        <f>IF(OR(COUNTBLANK(BG105)=1,ISERROR(BG105)),"",COUNT(BG4:BG105))</f>
        <v/>
      </c>
      <c r="BE105" s="7" t="e">
        <f t="shared" si="81"/>
        <v>#VALUE!</v>
      </c>
      <c r="BF105" s="1" t="str">
        <f>IF(ISERROR(INDEX(C4:C8,MATCH(J105,D4:D8,0))),"",INDEX(C4:C8,MATCH(J105,D4:D8,0)))</f>
        <v/>
      </c>
      <c r="BG105" s="79" t="e">
        <f>IF(IF(COUNTIF(BG4:BG104,BG100)&gt;=MAX(D4:D8),BG100+5,BG100)&gt;50,"",IF(COUNTIF(BG4:BG104,BG100)&gt;=MAX(D4:D8),BG100+5,BG100))</f>
        <v>#VALUE!</v>
      </c>
      <c r="BH105" s="76" t="e">
        <f>IF(BG105="","",VLOOKUP(BG105,S4:U53,3,0))</f>
        <v>#VALUE!</v>
      </c>
      <c r="BI105" s="8" t="str">
        <f t="shared" si="82"/>
        <v/>
      </c>
      <c r="BP105" s="71" t="e">
        <f>IF(BT105="","",BT105*10+2)</f>
        <v>#VALUE!</v>
      </c>
      <c r="BQ105" s="71" t="str">
        <f>IF(OR(COUNTBLANK(BT105)=1,ISERROR(BT105)),"",COUNT(BT4:BT105))</f>
        <v/>
      </c>
      <c r="BR105" s="7" t="e">
        <f t="shared" si="84"/>
        <v>#VALUE!</v>
      </c>
      <c r="BS105" s="1" t="str">
        <f t="shared" si="85"/>
        <v/>
      </c>
      <c r="BT105" s="79" t="e">
        <f>IF(IF(COUNTIF($BT$4:BT104,BT104)&gt;=MAX($D$4:$D$8),BT104+1,BT104)&gt;55,"",IF(COUNTIF($BT$4:BT104,BT104)&gt;=MAX($D$4:$D$8),BT104+1,BT104))</f>
        <v>#VALUE!</v>
      </c>
      <c r="BU105" s="1" t="e">
        <f t="shared" si="86"/>
        <v>#VALUE!</v>
      </c>
      <c r="BV105" s="8" t="str">
        <f t="shared" si="87"/>
        <v/>
      </c>
      <c r="BX105" s="71" t="e">
        <f t="shared" si="88"/>
        <v>#VALUE!</v>
      </c>
      <c r="BY105" s="71" t="str">
        <f>IF(OR(COUNTBLANK(CB105)=1,ISERROR(CB105)),"",COUNT($CB$4:CB105))</f>
        <v/>
      </c>
      <c r="BZ105" s="7" t="e">
        <f t="shared" si="89"/>
        <v>#VALUE!</v>
      </c>
      <c r="CA105" s="1" t="str">
        <f t="shared" si="90"/>
        <v/>
      </c>
      <c r="CB105" s="79" t="e">
        <f>IF(IF(COUNTIF($CB$4:CB104,CB103)&gt;=MAX($D$4:$D$8),CB103+2,CB103)&gt;55,"",IF(COUNTIF($CB$4:CB104,CB103)&gt;=MAX($D$4:$D$8),CB103+2,CB103))</f>
        <v>#VALUE!</v>
      </c>
      <c r="CC105" s="1" t="e">
        <f t="shared" si="91"/>
        <v>#VALUE!</v>
      </c>
      <c r="CD105" s="8" t="str">
        <f t="shared" si="92"/>
        <v/>
      </c>
      <c r="CF105" s="71" t="e">
        <f t="shared" si="105"/>
        <v>#VALUE!</v>
      </c>
      <c r="CG105" s="71" t="str">
        <f>IF(OR(COUNTBLANK(CJ105)=1,ISERROR(CJ105)),"",COUNT($CJ$4:CJ105))</f>
        <v/>
      </c>
      <c r="CH105" s="7" t="e">
        <f t="shared" si="106"/>
        <v>#VALUE!</v>
      </c>
      <c r="CI105" s="1" t="str">
        <f t="shared" si="107"/>
        <v/>
      </c>
      <c r="CJ105" s="79" t="e">
        <f>IF(IF(COUNTIF($CJ$4:CJ104,CJ102)&gt;=MAX($D$4:$D$8),CJ102+3,CJ102)&gt;55,"",IF(COUNTIF($CJ$4:CJ104,CJ102)&gt;=MAX($D$4:$D$8),CJ102+3,CJ102))</f>
        <v>#VALUE!</v>
      </c>
      <c r="CK105" s="1" t="e">
        <f t="shared" si="93"/>
        <v>#VALUE!</v>
      </c>
      <c r="CL105" s="8" t="str">
        <f t="shared" si="108"/>
        <v/>
      </c>
      <c r="CN105" s="71" t="e">
        <f t="shared" si="99"/>
        <v>#VALUE!</v>
      </c>
      <c r="CO105" s="71" t="str">
        <f>IF(OR(COUNTBLANK(CR105)=1,ISERROR(CR105)),"",COUNT($CR$4:CR105))</f>
        <v/>
      </c>
      <c r="CP105" s="7" t="e">
        <f t="shared" si="100"/>
        <v>#VALUE!</v>
      </c>
      <c r="CQ105" s="1" t="str">
        <f t="shared" si="101"/>
        <v/>
      </c>
      <c r="CR105" s="79" t="e">
        <f>IF(IF(COUNTIF($CR$4:CR104,CR101)&gt;=MAX($D$4:$D$8),CR101+4,CR101)&gt;55,"",IF(COUNTIF($CR$4:CR104,CR101)&gt;=MAX($D$4:$D$8),CR101+4,CR101))</f>
        <v>#VALUE!</v>
      </c>
      <c r="CS105" s="1" t="e">
        <f t="shared" si="94"/>
        <v>#VALUE!</v>
      </c>
      <c r="CT105" s="8" t="str">
        <f t="shared" si="102"/>
        <v/>
      </c>
      <c r="CV105" s="71" t="e">
        <f t="shared" si="109"/>
        <v>#VALUE!</v>
      </c>
      <c r="CW105" s="71" t="str">
        <f>IF(OR(COUNTBLANK(CZ105)=1,ISERROR(CZ105)),"",COUNT($CZ$4:CZ105))</f>
        <v/>
      </c>
      <c r="CX105" s="7" t="e">
        <f t="shared" si="110"/>
        <v>#VALUE!</v>
      </c>
      <c r="CY105" s="1" t="str">
        <f t="shared" si="111"/>
        <v/>
      </c>
      <c r="CZ105" s="79" t="e">
        <f>IF(IF(COUNTIF($CZ$4:CZ104,CZ100)&gt;=MAX($D$4:$D$8),CZ100+5,CZ100)&gt;55,"",IF(COUNTIF($CZ$4:CZ104,CZ100)&gt;=MAX($D$4:$D$8),CZ100+5,CZ100))</f>
        <v>#VALUE!</v>
      </c>
      <c r="DA105" s="1" t="e">
        <f t="shared" si="95"/>
        <v>#VALUE!</v>
      </c>
      <c r="DB105" s="8" t="str">
        <f t="shared" si="112"/>
        <v/>
      </c>
    </row>
    <row r="106" spans="5:106" x14ac:dyDescent="0.15">
      <c r="E106" s="1">
        <v>103</v>
      </c>
      <c r="F106" s="1">
        <f t="shared" si="96"/>
        <v>1</v>
      </c>
      <c r="G106" s="1">
        <f t="shared" si="103"/>
        <v>1</v>
      </c>
      <c r="H106" s="1">
        <f t="shared" si="97"/>
        <v>1</v>
      </c>
      <c r="I106" s="1">
        <f t="shared" si="98"/>
        <v>1</v>
      </c>
      <c r="J106" s="1">
        <f t="shared" si="104"/>
        <v>1</v>
      </c>
      <c r="L106" s="1" t="str">
        <f>IF(ISERROR(HLOOKUP($C$10,$F$3:$J$253,104,0)),"",HLOOKUP($C$10,$F$3:$J$253,104,0))</f>
        <v/>
      </c>
      <c r="N106" s="67"/>
      <c r="W106" s="71" t="e">
        <f>IF(AA106="","",AA106*10+3)</f>
        <v>#VALUE!</v>
      </c>
      <c r="X106" s="71" t="str">
        <f>IF(OR(COUNTBLANK(AA106)=1,ISERROR(AA106)),"",COUNT(AA4:AA106))</f>
        <v/>
      </c>
      <c r="Y106" s="7" t="e">
        <f t="shared" si="69"/>
        <v>#VALUE!</v>
      </c>
      <c r="Z106" s="1" t="str">
        <f t="shared" si="83"/>
        <v/>
      </c>
      <c r="AA106" s="79" t="e">
        <f>IF(IF(COUNTIF(AA4:AA105,AA105)&gt;=MAX(D4:D8),AA105+1,AA105)&gt;50,"",IF(COUNTIF(AA4:AA105,AA105)&gt;=MAX(D4:D8),AA105+1,AA105))</f>
        <v>#VALUE!</v>
      </c>
      <c r="AB106" s="1" t="e">
        <f>IF(AA106="","",VLOOKUP(AA106,S4:U53,3,0))</f>
        <v>#VALUE!</v>
      </c>
      <c r="AC106" s="8" t="str">
        <f t="shared" si="70"/>
        <v/>
      </c>
      <c r="AE106" s="71" t="e">
        <f t="shared" si="71"/>
        <v>#VALUE!</v>
      </c>
      <c r="AF106" s="71" t="str">
        <f>IF(OR(COUNTBLANK(AI106)=1,ISERROR(AI106)),"",COUNT(AI4:AI106))</f>
        <v/>
      </c>
      <c r="AG106" s="7" t="e">
        <f t="shared" si="72"/>
        <v>#VALUE!</v>
      </c>
      <c r="AH106" s="1" t="str">
        <f>IF(ISERROR(INDEX(C4:C8,MATCH(G106,D4:D8,0))),"",INDEX(C4:C8,MATCH(G106,D4:D8,0)))</f>
        <v/>
      </c>
      <c r="AI106" s="79" t="e">
        <f>IF(IF(COUNTIF(AI4:AI105,AI104)&gt;=MAX(D4:D8),AI104+2,AI104)&gt;50,"",IF(COUNTIF(AI4:AI105,AI104)&gt;=MAX(D4:D8),AI104+2,AI104))</f>
        <v>#VALUE!</v>
      </c>
      <c r="AJ106" s="1" t="e">
        <f>IF(AI106="","",VLOOKUP(AI106,S4:U53,3,0))</f>
        <v>#VALUE!</v>
      </c>
      <c r="AK106" s="8" t="str">
        <f t="shared" si="73"/>
        <v/>
      </c>
      <c r="AM106" s="71" t="e">
        <f t="shared" si="74"/>
        <v>#VALUE!</v>
      </c>
      <c r="AN106" s="71" t="str">
        <f>IF(OR(COUNTBLANK(AQ106)=1,ISERROR(AQ106)),"",COUNT(AQ4:AQ106))</f>
        <v/>
      </c>
      <c r="AO106" s="7" t="e">
        <f t="shared" si="75"/>
        <v>#VALUE!</v>
      </c>
      <c r="AP106" s="1" t="str">
        <f>IF(ISERROR(INDEX(C4:C8,MATCH(H106,D4:D8,0))),"",INDEX(C4:C8,MATCH(H106,D4:D8,0)))</f>
        <v/>
      </c>
      <c r="AQ106" s="79" t="e">
        <f>IF(IF(COUNTIF(AQ4:AQ105,AQ103)&gt;=MAX(D4:D8),AQ103+3,AQ103)&gt;50,"",IF(COUNTIF(AQ4:AQ105,AQ103)&gt;=MAX(D4:D8),AQ103+3,AQ103))</f>
        <v>#VALUE!</v>
      </c>
      <c r="AR106" s="1" t="e">
        <f>IF(AQ106="","",VLOOKUP(AQ106,S4:U53,3,0))</f>
        <v>#VALUE!</v>
      </c>
      <c r="AS106" s="8" t="str">
        <f t="shared" si="76"/>
        <v/>
      </c>
      <c r="AU106" s="71" t="e">
        <f t="shared" si="77"/>
        <v>#VALUE!</v>
      </c>
      <c r="AV106" s="71" t="str">
        <f>IF(OR(COUNTBLANK(AY106)=1,ISERROR(AY106)),"",COUNT(AY4:AY106))</f>
        <v/>
      </c>
      <c r="AW106" s="7" t="e">
        <f t="shared" si="78"/>
        <v>#VALUE!</v>
      </c>
      <c r="AX106" s="1" t="str">
        <f>IF(ISERROR(INDEX(C4:C8,MATCH(I106,D4:D8,0))),"",INDEX(C4:C8,MATCH(I106,D4:D8,0)))</f>
        <v/>
      </c>
      <c r="AY106" s="79" t="e">
        <f>IF(IF(COUNTIF(AY4:AY105,AY102)&gt;=MAX(D4:D8),AY102+4,AY102)&gt;50,"",IF(COUNTIF(AY4:AY105,AY102)&gt;=MAX(D4:D8),AY102+4,AY102))</f>
        <v>#VALUE!</v>
      </c>
      <c r="AZ106" s="76" t="e">
        <f>IF(AY106="","",VLOOKUP(AY106,S4:U53,3,0))</f>
        <v>#VALUE!</v>
      </c>
      <c r="BA106" s="8" t="str">
        <f t="shared" si="79"/>
        <v/>
      </c>
      <c r="BC106" s="71" t="e">
        <f t="shared" si="80"/>
        <v>#VALUE!</v>
      </c>
      <c r="BD106" s="71" t="str">
        <f>IF(OR(COUNTBLANK(BG106)=1,ISERROR(BG106)),"",COUNT(BG4:BG106))</f>
        <v/>
      </c>
      <c r="BE106" s="7" t="e">
        <f t="shared" si="81"/>
        <v>#VALUE!</v>
      </c>
      <c r="BF106" s="1" t="str">
        <f>IF(ISERROR(INDEX(C4:C8,MATCH(J106,D4:D8,0))),"",INDEX(C4:C8,MATCH(J106,D4:D8,0)))</f>
        <v/>
      </c>
      <c r="BG106" s="79" t="e">
        <f>IF(IF(COUNTIF(BG4:BG105,BG101)&gt;=MAX(D4:D8),BG101+5,BG101)&gt;50,"",IF(COUNTIF(BG4:BG105,BG101)&gt;=MAX(D4:D8),BG101+5,BG101))</f>
        <v>#VALUE!</v>
      </c>
      <c r="BH106" s="76" t="e">
        <f>IF(BG106="","",VLOOKUP(BG106,S4:U53,3,0))</f>
        <v>#VALUE!</v>
      </c>
      <c r="BI106" s="8" t="str">
        <f t="shared" si="82"/>
        <v/>
      </c>
      <c r="BP106" s="71" t="e">
        <f>IF(BT106="","",BT106*10+3)</f>
        <v>#VALUE!</v>
      </c>
      <c r="BQ106" s="71" t="str">
        <f>IF(OR(COUNTBLANK(BT106)=1,ISERROR(BT106)),"",COUNT(BT4:BT106))</f>
        <v/>
      </c>
      <c r="BR106" s="7" t="e">
        <f t="shared" si="84"/>
        <v>#VALUE!</v>
      </c>
      <c r="BS106" s="1" t="str">
        <f t="shared" si="85"/>
        <v/>
      </c>
      <c r="BT106" s="79" t="e">
        <f>IF(IF(COUNTIF($BT$4:BT105,BT105)&gt;=MAX($D$4:$D$8),BT105+1,BT105)&gt;55,"",IF(COUNTIF($BT$4:BT105,BT105)&gt;=MAX($D$4:$D$8),BT105+1,BT105))</f>
        <v>#VALUE!</v>
      </c>
      <c r="BU106" s="1" t="e">
        <f t="shared" si="86"/>
        <v>#VALUE!</v>
      </c>
      <c r="BV106" s="8" t="str">
        <f t="shared" si="87"/>
        <v/>
      </c>
      <c r="BX106" s="71" t="e">
        <f t="shared" si="88"/>
        <v>#VALUE!</v>
      </c>
      <c r="BY106" s="71" t="str">
        <f>IF(OR(COUNTBLANK(CB106)=1,ISERROR(CB106)),"",COUNT($CB$4:CB106))</f>
        <v/>
      </c>
      <c r="BZ106" s="7" t="e">
        <f t="shared" si="89"/>
        <v>#VALUE!</v>
      </c>
      <c r="CA106" s="1" t="str">
        <f t="shared" si="90"/>
        <v/>
      </c>
      <c r="CB106" s="79" t="e">
        <f>IF(IF(COUNTIF($CB$4:CB105,CB104)&gt;=MAX($D$4:$D$8),CB104+2,CB104)&gt;55,"",IF(COUNTIF($CB$4:CB105,CB104)&gt;=MAX($D$4:$D$8),CB104+2,CB104))</f>
        <v>#VALUE!</v>
      </c>
      <c r="CC106" s="1" t="e">
        <f t="shared" si="91"/>
        <v>#VALUE!</v>
      </c>
      <c r="CD106" s="8" t="str">
        <f t="shared" si="92"/>
        <v/>
      </c>
      <c r="CF106" s="71" t="e">
        <f t="shared" si="105"/>
        <v>#VALUE!</v>
      </c>
      <c r="CG106" s="71" t="str">
        <f>IF(OR(COUNTBLANK(CJ106)=1,ISERROR(CJ106)),"",COUNT($CJ$4:CJ106))</f>
        <v/>
      </c>
      <c r="CH106" s="7" t="e">
        <f t="shared" si="106"/>
        <v>#VALUE!</v>
      </c>
      <c r="CI106" s="1" t="str">
        <f t="shared" si="107"/>
        <v/>
      </c>
      <c r="CJ106" s="79" t="e">
        <f>IF(IF(COUNTIF($CJ$4:CJ105,CJ103)&gt;=MAX($D$4:$D$8),CJ103+3,CJ103)&gt;55,"",IF(COUNTIF($CJ$4:CJ105,CJ103)&gt;=MAX($D$4:$D$8),CJ103+3,CJ103))</f>
        <v>#VALUE!</v>
      </c>
      <c r="CK106" s="1" t="e">
        <f t="shared" si="93"/>
        <v>#VALUE!</v>
      </c>
      <c r="CL106" s="8" t="str">
        <f t="shared" si="108"/>
        <v/>
      </c>
      <c r="CN106" s="71" t="e">
        <f t="shared" si="99"/>
        <v>#VALUE!</v>
      </c>
      <c r="CO106" s="71" t="str">
        <f>IF(OR(COUNTBLANK(CR106)=1,ISERROR(CR106)),"",COUNT($CR$4:CR106))</f>
        <v/>
      </c>
      <c r="CP106" s="7" t="e">
        <f t="shared" si="100"/>
        <v>#VALUE!</v>
      </c>
      <c r="CQ106" s="1" t="str">
        <f t="shared" si="101"/>
        <v/>
      </c>
      <c r="CR106" s="79" t="e">
        <f>IF(IF(COUNTIF($CR$4:CR105,CR102)&gt;=MAX($D$4:$D$8),CR102+4,CR102)&gt;55,"",IF(COUNTIF($CR$4:CR105,CR102)&gt;=MAX($D$4:$D$8),CR102+4,CR102))</f>
        <v>#VALUE!</v>
      </c>
      <c r="CS106" s="1" t="e">
        <f t="shared" si="94"/>
        <v>#VALUE!</v>
      </c>
      <c r="CT106" s="8" t="str">
        <f t="shared" si="102"/>
        <v/>
      </c>
      <c r="CV106" s="71" t="e">
        <f t="shared" si="109"/>
        <v>#VALUE!</v>
      </c>
      <c r="CW106" s="71" t="str">
        <f>IF(OR(COUNTBLANK(CZ106)=1,ISERROR(CZ106)),"",COUNT($CZ$4:CZ106))</f>
        <v/>
      </c>
      <c r="CX106" s="7" t="e">
        <f t="shared" si="110"/>
        <v>#VALUE!</v>
      </c>
      <c r="CY106" s="1" t="str">
        <f t="shared" si="111"/>
        <v/>
      </c>
      <c r="CZ106" s="79" t="e">
        <f>IF(IF(COUNTIF($CZ$4:CZ105,CZ101)&gt;=MAX($D$4:$D$8),CZ101+5,CZ101)&gt;55,"",IF(COUNTIF($CZ$4:CZ105,CZ101)&gt;=MAX($D$4:$D$8),CZ101+5,CZ101))</f>
        <v>#VALUE!</v>
      </c>
      <c r="DA106" s="1" t="e">
        <f t="shared" si="95"/>
        <v>#VALUE!</v>
      </c>
      <c r="DB106" s="8" t="str">
        <f t="shared" si="112"/>
        <v/>
      </c>
    </row>
    <row r="107" spans="5:106" x14ac:dyDescent="0.15">
      <c r="E107" s="1">
        <v>104</v>
      </c>
      <c r="F107" s="1">
        <f t="shared" si="96"/>
        <v>1</v>
      </c>
      <c r="G107" s="1">
        <f t="shared" si="103"/>
        <v>1</v>
      </c>
      <c r="H107" s="1">
        <f t="shared" si="97"/>
        <v>1</v>
      </c>
      <c r="I107" s="1">
        <f t="shared" si="98"/>
        <v>1</v>
      </c>
      <c r="J107" s="1">
        <f t="shared" si="104"/>
        <v>1</v>
      </c>
      <c r="L107" s="1" t="str">
        <f>IF(ISERROR(HLOOKUP($C$10,$F$3:$J$253,105,0)),"",HLOOKUP($C$10,$F$3:$J$253,105,0))</f>
        <v/>
      </c>
      <c r="N107" s="67"/>
      <c r="W107" s="71" t="e">
        <f>IF(AA107="","",AA107*10+4)</f>
        <v>#VALUE!</v>
      </c>
      <c r="X107" s="71" t="str">
        <f>IF(OR(COUNTBLANK(AA107)=1,ISERROR(AA107)),"",COUNT(AA4:AA107))</f>
        <v/>
      </c>
      <c r="Y107" s="7" t="e">
        <f t="shared" si="69"/>
        <v>#VALUE!</v>
      </c>
      <c r="Z107" s="1" t="str">
        <f t="shared" si="83"/>
        <v/>
      </c>
      <c r="AA107" s="79" t="e">
        <f>IF(IF(COUNTIF(AA4:AA106,AA106)&gt;=MAX(D4:D8),AA106+1,AA106)&gt;50,"",IF(COUNTIF(AA4:AA106,AA106)&gt;=MAX(D4:D8),AA106+1,AA106))</f>
        <v>#VALUE!</v>
      </c>
      <c r="AB107" s="1" t="e">
        <f>IF(AA107="","",VLOOKUP(AA107,S4:U53,3,0))</f>
        <v>#VALUE!</v>
      </c>
      <c r="AC107" s="8" t="str">
        <f t="shared" si="70"/>
        <v/>
      </c>
      <c r="AE107" s="71" t="e">
        <f t="shared" si="71"/>
        <v>#VALUE!</v>
      </c>
      <c r="AF107" s="71" t="str">
        <f>IF(OR(COUNTBLANK(AI107)=1,ISERROR(AI107)),"",COUNT(AI4:AI107))</f>
        <v/>
      </c>
      <c r="AG107" s="7" t="e">
        <f t="shared" si="72"/>
        <v>#VALUE!</v>
      </c>
      <c r="AH107" s="1" t="str">
        <f>IF(ISERROR(INDEX(C4:C8,MATCH(G107,D4:D8,0))),"",INDEX(C4:C8,MATCH(G107,D4:D8,0)))</f>
        <v/>
      </c>
      <c r="AI107" s="79" t="e">
        <f>IF(IF(COUNTIF(AI4:AI105,AI105)&gt;=MAX(D4:D8),AI105+2,AI105)&gt;50,"",IF(COUNTIF(AI4:AI105,AI105)&gt;=MAX(D4:D8),AI105+2,AI105))</f>
        <v>#VALUE!</v>
      </c>
      <c r="AJ107" s="1" t="e">
        <f>IF(AI107="","",VLOOKUP(AI107,S4:U53,3,0))</f>
        <v>#VALUE!</v>
      </c>
      <c r="AK107" s="8" t="str">
        <f t="shared" si="73"/>
        <v/>
      </c>
      <c r="AM107" s="71" t="e">
        <f t="shared" si="74"/>
        <v>#VALUE!</v>
      </c>
      <c r="AN107" s="71" t="str">
        <f>IF(OR(COUNTBLANK(AQ107)=1,ISERROR(AQ107)),"",COUNT(AQ4:AQ107))</f>
        <v/>
      </c>
      <c r="AO107" s="7" t="e">
        <f t="shared" si="75"/>
        <v>#VALUE!</v>
      </c>
      <c r="AP107" s="1" t="str">
        <f>IF(ISERROR(INDEX(C4:C8,MATCH(H107,D4:D8,0))),"",INDEX(C4:C8,MATCH(H107,D4:D8,0)))</f>
        <v/>
      </c>
      <c r="AQ107" s="79" t="e">
        <f>IF(IF(COUNTIF(AQ4:AQ106,AQ104)&gt;=MAX(D4:D8),AQ104+3,AQ104)&gt;50,"",IF(COUNTIF(AQ4:AQ106,AQ104)&gt;=MAX(D4:D8),AQ104+3,AQ104))</f>
        <v>#VALUE!</v>
      </c>
      <c r="AR107" s="1" t="e">
        <f>IF(AQ107="","",VLOOKUP(AQ107,S4:U53,3,0))</f>
        <v>#VALUE!</v>
      </c>
      <c r="AS107" s="8" t="str">
        <f t="shared" si="76"/>
        <v/>
      </c>
      <c r="AU107" s="71" t="e">
        <f t="shared" si="77"/>
        <v>#VALUE!</v>
      </c>
      <c r="AV107" s="71" t="str">
        <f>IF(OR(COUNTBLANK(AY107)=1,ISERROR(AY107)),"",COUNT(AY4:AY107))</f>
        <v/>
      </c>
      <c r="AW107" s="7" t="e">
        <f t="shared" si="78"/>
        <v>#VALUE!</v>
      </c>
      <c r="AX107" s="1" t="str">
        <f>IF(ISERROR(INDEX(C4:C8,MATCH(I107,D4:D8,0))),"",INDEX(C4:C8,MATCH(I107,D4:D8,0)))</f>
        <v/>
      </c>
      <c r="AY107" s="79" t="e">
        <f>IF(IF(COUNTIF(AY4:AY106,AY103)&gt;=MAX(D4:D8),AY103+4,AY103)&gt;50,"",IF(COUNTIF(AY4:AY106,AY103)&gt;=MAX(D4:D8),AY103+4,AY103))</f>
        <v>#VALUE!</v>
      </c>
      <c r="AZ107" s="76" t="e">
        <f>IF(AY107="","",VLOOKUP(AY107,S4:U53,3,0))</f>
        <v>#VALUE!</v>
      </c>
      <c r="BA107" s="8" t="str">
        <f t="shared" si="79"/>
        <v/>
      </c>
      <c r="BC107" s="71" t="e">
        <f t="shared" si="80"/>
        <v>#VALUE!</v>
      </c>
      <c r="BD107" s="71" t="str">
        <f>IF(OR(COUNTBLANK(BG107)=1,ISERROR(BG107)),"",COUNT(BG4:BG107))</f>
        <v/>
      </c>
      <c r="BE107" s="7" t="e">
        <f t="shared" si="81"/>
        <v>#VALUE!</v>
      </c>
      <c r="BF107" s="1" t="str">
        <f>IF(ISERROR(INDEX(C4:C8,MATCH(J107,D4:D8,0))),"",INDEX(C4:C8,MATCH(J107,D4:D8,0)))</f>
        <v/>
      </c>
      <c r="BG107" s="79" t="e">
        <f>IF(IF(COUNTIF(BG4:BG106,BG102)&gt;=MAX(D4:D8),BG102+5,BG102)&gt;50,"",IF(COUNTIF(BG4:BG106,BG102)&gt;=MAX(D4:D8),BG102+5,BG102))</f>
        <v>#VALUE!</v>
      </c>
      <c r="BH107" s="76" t="e">
        <f>IF(BG107="","",VLOOKUP(BG107,S4:U53,3,0))</f>
        <v>#VALUE!</v>
      </c>
      <c r="BI107" s="8" t="str">
        <f t="shared" si="82"/>
        <v/>
      </c>
      <c r="BP107" s="71" t="e">
        <f>IF(BT107="","",BT107*10+4)</f>
        <v>#VALUE!</v>
      </c>
      <c r="BQ107" s="71" t="str">
        <f>IF(OR(COUNTBLANK(BT107)=1,ISERROR(BT107)),"",COUNT(BT4:BT107))</f>
        <v/>
      </c>
      <c r="BR107" s="7" t="e">
        <f t="shared" si="84"/>
        <v>#VALUE!</v>
      </c>
      <c r="BS107" s="1" t="str">
        <f t="shared" si="85"/>
        <v/>
      </c>
      <c r="BT107" s="79" t="e">
        <f>IF(IF(COUNTIF($BT$4:BT106,BT106)&gt;=MAX($D$4:$D$8),BT106+1,BT106)&gt;55,"",IF(COUNTIF($BT$4:BT106,BT106)&gt;=MAX($D$4:$D$8),BT106+1,BT106))</f>
        <v>#VALUE!</v>
      </c>
      <c r="BU107" s="1" t="e">
        <f t="shared" si="86"/>
        <v>#VALUE!</v>
      </c>
      <c r="BV107" s="8" t="str">
        <f t="shared" si="87"/>
        <v/>
      </c>
      <c r="BX107" s="71" t="e">
        <f t="shared" si="88"/>
        <v>#VALUE!</v>
      </c>
      <c r="BY107" s="71" t="str">
        <f>IF(OR(COUNTBLANK(CB107)=1,ISERROR(CB107)),"",COUNT($CB$4:CB107))</f>
        <v/>
      </c>
      <c r="BZ107" s="7" t="e">
        <f t="shared" si="89"/>
        <v>#VALUE!</v>
      </c>
      <c r="CA107" s="1" t="str">
        <f t="shared" si="90"/>
        <v/>
      </c>
      <c r="CB107" s="79" t="e">
        <f>IF(IF(COUNTIF($CB$4:CB106,CB105)&gt;=MAX($D$4:$D$8),CB105+2,CB105)&gt;55,"",IF(COUNTIF($CB$4:CB106,CB105)&gt;=MAX($D$4:$D$8),CB105+2,CB105))</f>
        <v>#VALUE!</v>
      </c>
      <c r="CC107" s="1" t="e">
        <f t="shared" si="91"/>
        <v>#VALUE!</v>
      </c>
      <c r="CD107" s="8" t="str">
        <f t="shared" si="92"/>
        <v/>
      </c>
      <c r="CF107" s="71" t="e">
        <f t="shared" si="105"/>
        <v>#VALUE!</v>
      </c>
      <c r="CG107" s="71" t="str">
        <f>IF(OR(COUNTBLANK(CJ107)=1,ISERROR(CJ107)),"",COUNT($CJ$4:CJ107))</f>
        <v/>
      </c>
      <c r="CH107" s="7" t="e">
        <f t="shared" si="106"/>
        <v>#VALUE!</v>
      </c>
      <c r="CI107" s="1" t="str">
        <f t="shared" si="107"/>
        <v/>
      </c>
      <c r="CJ107" s="79" t="e">
        <f>IF(IF(COUNTIF($CJ$4:CJ106,CJ104)&gt;=MAX($D$4:$D$8),CJ104+3,CJ104)&gt;55,"",IF(COUNTIF($CJ$4:CJ106,CJ104)&gt;=MAX($D$4:$D$8),CJ104+3,CJ104))</f>
        <v>#VALUE!</v>
      </c>
      <c r="CK107" s="1" t="e">
        <f t="shared" si="93"/>
        <v>#VALUE!</v>
      </c>
      <c r="CL107" s="8" t="str">
        <f t="shared" si="108"/>
        <v/>
      </c>
      <c r="CN107" s="71" t="e">
        <f t="shared" si="99"/>
        <v>#VALUE!</v>
      </c>
      <c r="CO107" s="71" t="str">
        <f>IF(OR(COUNTBLANK(CR107)=1,ISERROR(CR107)),"",COUNT($CR$4:CR107))</f>
        <v/>
      </c>
      <c r="CP107" s="7" t="e">
        <f t="shared" si="100"/>
        <v>#VALUE!</v>
      </c>
      <c r="CQ107" s="1" t="str">
        <f t="shared" si="101"/>
        <v/>
      </c>
      <c r="CR107" s="79" t="e">
        <f>IF(IF(COUNTIF($CR$4:CR106,CR103)&gt;=MAX($D$4:$D$8),CR103+4,CR103)&gt;55,"",IF(COUNTIF($CR$4:CR106,CR103)&gt;=MAX($D$4:$D$8),CR103+4,CR103))</f>
        <v>#VALUE!</v>
      </c>
      <c r="CS107" s="1" t="e">
        <f t="shared" si="94"/>
        <v>#VALUE!</v>
      </c>
      <c r="CT107" s="8" t="str">
        <f t="shared" si="102"/>
        <v/>
      </c>
      <c r="CV107" s="71" t="e">
        <f t="shared" si="109"/>
        <v>#VALUE!</v>
      </c>
      <c r="CW107" s="71" t="str">
        <f>IF(OR(COUNTBLANK(CZ107)=1,ISERROR(CZ107)),"",COUNT($CZ$4:CZ107))</f>
        <v/>
      </c>
      <c r="CX107" s="7" t="e">
        <f t="shared" si="110"/>
        <v>#VALUE!</v>
      </c>
      <c r="CY107" s="1" t="str">
        <f t="shared" si="111"/>
        <v/>
      </c>
      <c r="CZ107" s="79" t="e">
        <f>IF(IF(COUNTIF($CZ$4:CZ106,CZ102)&gt;=MAX($D$4:$D$8),CZ102+5,CZ102)&gt;55,"",IF(COUNTIF($CZ$4:CZ106,CZ102)&gt;=MAX($D$4:$D$8),CZ102+5,CZ102))</f>
        <v>#VALUE!</v>
      </c>
      <c r="DA107" s="1" t="e">
        <f t="shared" si="95"/>
        <v>#VALUE!</v>
      </c>
      <c r="DB107" s="8" t="str">
        <f t="shared" si="112"/>
        <v/>
      </c>
    </row>
    <row r="108" spans="5:106" x14ac:dyDescent="0.15">
      <c r="E108" s="1">
        <v>105</v>
      </c>
      <c r="F108" s="1">
        <f t="shared" si="96"/>
        <v>1</v>
      </c>
      <c r="G108" s="1">
        <f t="shared" si="103"/>
        <v>1</v>
      </c>
      <c r="H108" s="1">
        <f t="shared" si="97"/>
        <v>1</v>
      </c>
      <c r="I108" s="1">
        <f t="shared" si="98"/>
        <v>1</v>
      </c>
      <c r="J108" s="1">
        <f t="shared" si="104"/>
        <v>1</v>
      </c>
      <c r="L108" s="1" t="str">
        <f>IF(ISERROR(HLOOKUP($C$10,$F$3:$J$253,106,0)),"",HLOOKUP($C$10,$F$3:$J$253,106,0))</f>
        <v/>
      </c>
      <c r="N108" s="67"/>
      <c r="W108" s="71" t="e">
        <f>IF(AA108="","",AA108*10+5)</f>
        <v>#VALUE!</v>
      </c>
      <c r="X108" s="71" t="str">
        <f>IF(OR(COUNTBLANK(AA108)=1,ISERROR(AA108)),"",COUNT(AA4:AA108))</f>
        <v/>
      </c>
      <c r="Y108" s="7" t="e">
        <f t="shared" si="69"/>
        <v>#VALUE!</v>
      </c>
      <c r="Z108" s="1" t="str">
        <f t="shared" si="83"/>
        <v/>
      </c>
      <c r="AA108" s="79" t="e">
        <f>IF(IF(COUNTIF(AA4:AA107,AA107)&gt;=MAX(D4:D8),AA107+1,AA107)&gt;50,"",IF(COUNTIF(AA4:AA107,AA107)&gt;=MAX(D4:D8),AA107+1,AA107))</f>
        <v>#VALUE!</v>
      </c>
      <c r="AB108" s="1" t="e">
        <f>IF(AA108="","",VLOOKUP(AA108,S4:U53,3,0))</f>
        <v>#VALUE!</v>
      </c>
      <c r="AC108" s="8" t="str">
        <f t="shared" si="70"/>
        <v/>
      </c>
      <c r="AE108" s="71" t="e">
        <f t="shared" si="71"/>
        <v>#VALUE!</v>
      </c>
      <c r="AF108" s="71" t="str">
        <f>IF(OR(COUNTBLANK(AI108)=1,ISERROR(AI108)),"",COUNT(AI4:AI108))</f>
        <v/>
      </c>
      <c r="AG108" s="7" t="e">
        <f t="shared" si="72"/>
        <v>#VALUE!</v>
      </c>
      <c r="AH108" s="1" t="str">
        <f>IF(ISERROR(INDEX(C4:C8,MATCH(G108,D4:D8,0))),"",INDEX(C4:C8,MATCH(G108,D4:D8,0)))</f>
        <v/>
      </c>
      <c r="AI108" s="79" t="e">
        <f>IF(IF(COUNTIF(AI4:AI107,AI106)&gt;=MAX(D4:D8),AI106+2,AI106)&gt;50,"",IF(COUNTIF(AI4:AI107,AI106)&gt;=MAX(D4:D8),AI106+2,AI106))</f>
        <v>#VALUE!</v>
      </c>
      <c r="AJ108" s="1" t="e">
        <f>IF(AI108="","",VLOOKUP(AI108,S4:U53,3,0))</f>
        <v>#VALUE!</v>
      </c>
      <c r="AK108" s="8" t="str">
        <f t="shared" si="73"/>
        <v/>
      </c>
      <c r="AM108" s="71" t="e">
        <f t="shared" si="74"/>
        <v>#VALUE!</v>
      </c>
      <c r="AN108" s="71" t="str">
        <f>IF(OR(COUNTBLANK(AQ108)=1,ISERROR(AQ108)),"",COUNT(AQ4:AQ108))</f>
        <v/>
      </c>
      <c r="AO108" s="7" t="e">
        <f t="shared" si="75"/>
        <v>#VALUE!</v>
      </c>
      <c r="AP108" s="1" t="str">
        <f>IF(ISERROR(INDEX(C4:C8,MATCH(H108,D4:D8,0))),"",INDEX(C4:C8,MATCH(H108,D4:D8,0)))</f>
        <v/>
      </c>
      <c r="AQ108" s="79" t="e">
        <f>IF(IF(COUNTIF(AQ4:AQ107,AQ105)&gt;=MAX(D4:D8),AQ105+3,AQ105)&gt;50,"",IF(COUNTIF(AQ4:AQ107,AQ105)&gt;=MAX(D4:D8),AQ105+3,AQ105))</f>
        <v>#VALUE!</v>
      </c>
      <c r="AR108" s="1" t="e">
        <f>IF(AQ108="","",VLOOKUP(AQ108,S4:U53,3,0))</f>
        <v>#VALUE!</v>
      </c>
      <c r="AS108" s="8" t="str">
        <f t="shared" si="76"/>
        <v/>
      </c>
      <c r="AU108" s="71" t="e">
        <f t="shared" si="77"/>
        <v>#VALUE!</v>
      </c>
      <c r="AV108" s="71" t="str">
        <f>IF(OR(COUNTBLANK(AY108)=1,ISERROR(AY108)),"",COUNT(AY4:AY108))</f>
        <v/>
      </c>
      <c r="AW108" s="7" t="e">
        <f t="shared" si="78"/>
        <v>#VALUE!</v>
      </c>
      <c r="AX108" s="1" t="str">
        <f>IF(ISERROR(INDEX(C4:C8,MATCH(I108,D4:D8,0))),"",INDEX(C4:C8,MATCH(I108,D4:D8,0)))</f>
        <v/>
      </c>
      <c r="AY108" s="79" t="e">
        <f>IF(IF(COUNTIF(AY4:AY107,AY104)&gt;=MAX(D4:D8),AY104+4,AY104)&gt;50,"",IF(COUNTIF(AY4:AY107,AY104)&gt;=MAX(D4:D8),AY104+4,AY104))</f>
        <v>#VALUE!</v>
      </c>
      <c r="AZ108" s="76" t="e">
        <f>IF(AY108="","",VLOOKUP(AY108,S4:U53,3,0))</f>
        <v>#VALUE!</v>
      </c>
      <c r="BA108" s="8" t="str">
        <f t="shared" si="79"/>
        <v/>
      </c>
      <c r="BC108" s="71" t="e">
        <f t="shared" si="80"/>
        <v>#VALUE!</v>
      </c>
      <c r="BD108" s="71" t="str">
        <f>IF(OR(COUNTBLANK(BG108)=1,ISERROR(BG108)),"",COUNT(BG4:BG108))</f>
        <v/>
      </c>
      <c r="BE108" s="7" t="e">
        <f t="shared" si="81"/>
        <v>#VALUE!</v>
      </c>
      <c r="BF108" s="1" t="str">
        <f>IF(ISERROR(INDEX(C4:C8,MATCH(J108,D4:D8,0))),"",INDEX(C4:C8,MATCH(J108,D4:D8,0)))</f>
        <v/>
      </c>
      <c r="BG108" s="79" t="e">
        <f>IF(IF(COUNTIF(BG4:BG107,BG103)&gt;=MAX(D4:D8),BG103+5,BG103)&gt;50,"",IF(COUNTIF(BG4:BG107,BG103)&gt;=MAX(D4:D8),BG103+5,BG103))</f>
        <v>#VALUE!</v>
      </c>
      <c r="BH108" s="76" t="e">
        <f>IF(BG108="","",VLOOKUP(BG108,S4:U53,3,0))</f>
        <v>#VALUE!</v>
      </c>
      <c r="BI108" s="8" t="str">
        <f t="shared" si="82"/>
        <v/>
      </c>
      <c r="BP108" s="71" t="e">
        <f>IF(BT108="","",BT108*10+5)</f>
        <v>#VALUE!</v>
      </c>
      <c r="BQ108" s="71" t="str">
        <f>IF(OR(COUNTBLANK(BT108)=1,ISERROR(BT108)),"",COUNT(BT4:BT108))</f>
        <v/>
      </c>
      <c r="BR108" s="7" t="e">
        <f t="shared" si="84"/>
        <v>#VALUE!</v>
      </c>
      <c r="BS108" s="1" t="str">
        <f t="shared" si="85"/>
        <v/>
      </c>
      <c r="BT108" s="79" t="e">
        <f>IF(IF(COUNTIF($BT$4:BT107,BT107)&gt;=MAX($D$4:$D$8),BT107+1,BT107)&gt;55,"",IF(COUNTIF($BT$4:BT107,BT107)&gt;=MAX($D$4:$D$8),BT107+1,BT107))</f>
        <v>#VALUE!</v>
      </c>
      <c r="BU108" s="1" t="e">
        <f t="shared" si="86"/>
        <v>#VALUE!</v>
      </c>
      <c r="BV108" s="8" t="str">
        <f t="shared" si="87"/>
        <v/>
      </c>
      <c r="BX108" s="71" t="e">
        <f t="shared" si="88"/>
        <v>#VALUE!</v>
      </c>
      <c r="BY108" s="71" t="str">
        <f>IF(OR(COUNTBLANK(CB108)=1,ISERROR(CB108)),"",COUNT($CB$4:CB108))</f>
        <v/>
      </c>
      <c r="BZ108" s="7" t="e">
        <f t="shared" si="89"/>
        <v>#VALUE!</v>
      </c>
      <c r="CA108" s="1" t="str">
        <f t="shared" si="90"/>
        <v/>
      </c>
      <c r="CB108" s="79" t="e">
        <f>IF(IF(COUNTIF($CB$4:CB107,CB106)&gt;=MAX($D$4:$D$8),CB106+2,CB106)&gt;55,"",IF(COUNTIF($CB$4:CB107,CB106)&gt;=MAX($D$4:$D$8),CB106+2,CB106))</f>
        <v>#VALUE!</v>
      </c>
      <c r="CC108" s="1" t="e">
        <f t="shared" si="91"/>
        <v>#VALUE!</v>
      </c>
      <c r="CD108" s="8" t="str">
        <f t="shared" si="92"/>
        <v/>
      </c>
      <c r="CF108" s="71" t="e">
        <f t="shared" si="105"/>
        <v>#VALUE!</v>
      </c>
      <c r="CG108" s="71" t="str">
        <f>IF(OR(COUNTBLANK(CJ108)=1,ISERROR(CJ108)),"",COUNT($CJ$4:CJ108))</f>
        <v/>
      </c>
      <c r="CH108" s="7" t="e">
        <f t="shared" si="106"/>
        <v>#VALUE!</v>
      </c>
      <c r="CI108" s="1" t="str">
        <f t="shared" si="107"/>
        <v/>
      </c>
      <c r="CJ108" s="79" t="e">
        <f>IF(IF(COUNTIF($CJ$4:CJ107,CJ105)&gt;=MAX($D$4:$D$8),CJ105+3,CJ105)&gt;55,"",IF(COUNTIF($CJ$4:CJ107,CJ105)&gt;=MAX($D$4:$D$8),CJ105+3,CJ105))</f>
        <v>#VALUE!</v>
      </c>
      <c r="CK108" s="1" t="e">
        <f t="shared" si="93"/>
        <v>#VALUE!</v>
      </c>
      <c r="CL108" s="8" t="str">
        <f t="shared" si="108"/>
        <v/>
      </c>
      <c r="CN108" s="71" t="e">
        <f t="shared" si="99"/>
        <v>#VALUE!</v>
      </c>
      <c r="CO108" s="71" t="str">
        <f>IF(OR(COUNTBLANK(CR108)=1,ISERROR(CR108)),"",COUNT($CR$4:CR108))</f>
        <v/>
      </c>
      <c r="CP108" s="7" t="e">
        <f t="shared" si="100"/>
        <v>#VALUE!</v>
      </c>
      <c r="CQ108" s="1" t="str">
        <f t="shared" si="101"/>
        <v/>
      </c>
      <c r="CR108" s="79" t="e">
        <f>IF(IF(COUNTIF($CR$4:CR107,CR104)&gt;=MAX($D$4:$D$8),CR104+4,CR104)&gt;55,"",IF(COUNTIF($CR$4:CR107,CR104)&gt;=MAX($D$4:$D$8),CR104+4,CR104))</f>
        <v>#VALUE!</v>
      </c>
      <c r="CS108" s="1" t="e">
        <f t="shared" si="94"/>
        <v>#VALUE!</v>
      </c>
      <c r="CT108" s="8" t="str">
        <f t="shared" si="102"/>
        <v/>
      </c>
      <c r="CV108" s="71" t="e">
        <f t="shared" si="109"/>
        <v>#VALUE!</v>
      </c>
      <c r="CW108" s="71" t="str">
        <f>IF(OR(COUNTBLANK(CZ108)=1,ISERROR(CZ108)),"",COUNT($CZ$4:CZ108))</f>
        <v/>
      </c>
      <c r="CX108" s="7" t="e">
        <f t="shared" si="110"/>
        <v>#VALUE!</v>
      </c>
      <c r="CY108" s="1" t="str">
        <f t="shared" si="111"/>
        <v/>
      </c>
      <c r="CZ108" s="79" t="e">
        <f>IF(IF(COUNTIF($CZ$4:CZ107,CZ103)&gt;=MAX($D$4:$D$8),CZ103+5,CZ103)&gt;55,"",IF(COUNTIF($CZ$4:CZ107,CZ103)&gt;=MAX($D$4:$D$8),CZ103+5,CZ103))</f>
        <v>#VALUE!</v>
      </c>
      <c r="DA108" s="1" t="e">
        <f t="shared" si="95"/>
        <v>#VALUE!</v>
      </c>
      <c r="DB108" s="8" t="str">
        <f t="shared" si="112"/>
        <v/>
      </c>
    </row>
    <row r="109" spans="5:106" x14ac:dyDescent="0.15">
      <c r="E109" s="1">
        <v>106</v>
      </c>
      <c r="F109" s="1">
        <f t="shared" si="96"/>
        <v>1</v>
      </c>
      <c r="G109" s="1">
        <f t="shared" si="103"/>
        <v>1</v>
      </c>
      <c r="H109" s="1">
        <f t="shared" si="97"/>
        <v>1</v>
      </c>
      <c r="I109" s="1">
        <f t="shared" si="98"/>
        <v>1</v>
      </c>
      <c r="J109" s="1">
        <f t="shared" si="104"/>
        <v>1</v>
      </c>
      <c r="L109" s="1" t="str">
        <f>IF(ISERROR(HLOOKUP($C$10,$F$3:$J$253,107,0)),"",HLOOKUP($C$10,$F$3:$J$253,107,0))</f>
        <v/>
      </c>
      <c r="N109" s="67"/>
      <c r="W109" s="71" t="e">
        <f>IF(AA109="","",AA109*10+1)</f>
        <v>#VALUE!</v>
      </c>
      <c r="X109" s="71" t="str">
        <f>IF(OR(COUNTBLANK(AA109)=1,ISERROR(AA109)),"",COUNT(AA4:AA109))</f>
        <v/>
      </c>
      <c r="Y109" s="7" t="e">
        <f t="shared" si="69"/>
        <v>#VALUE!</v>
      </c>
      <c r="Z109" s="1" t="str">
        <f t="shared" si="83"/>
        <v/>
      </c>
      <c r="AA109" s="79" t="e">
        <f>IF(IF(COUNTIF(AA4:AA108,AA108)&gt;=MAX(D4:D8),AA108+1,AA108)&gt;50,"",IF(COUNTIF(AA4:AA108,AA108)&gt;=MAX(D4:D8),AA108+1,AA108))</f>
        <v>#VALUE!</v>
      </c>
      <c r="AB109" s="1" t="e">
        <f>IF(AA109="","",VLOOKUP(AA109,S4:U53,3,0))</f>
        <v>#VALUE!</v>
      </c>
      <c r="AC109" s="8" t="str">
        <f t="shared" si="70"/>
        <v/>
      </c>
      <c r="AE109" s="71" t="e">
        <f t="shared" si="71"/>
        <v>#VALUE!</v>
      </c>
      <c r="AF109" s="71" t="str">
        <f>IF(OR(COUNTBLANK(AI109)=1,ISERROR(AI109)),"",COUNT(AI4:AI109))</f>
        <v/>
      </c>
      <c r="AG109" s="7" t="e">
        <f t="shared" si="72"/>
        <v>#VALUE!</v>
      </c>
      <c r="AH109" s="1" t="str">
        <f>IF(ISERROR(INDEX(C4:C8,MATCH(G109,D4:D8,0))),"",INDEX(C4:C8,MATCH(G109,D4:D8,0)))</f>
        <v/>
      </c>
      <c r="AI109" s="79" t="e">
        <f>IF(IF(COUNTIF(AI4:AI107,AI107)&gt;=MAX(D4:D8),AI107+2,AI107)&gt;50,"",IF(COUNTIF(AI4:AI107,AI107)&gt;=MAX(D4:D8),AI107+2,AI107))</f>
        <v>#VALUE!</v>
      </c>
      <c r="AJ109" s="1" t="e">
        <f>IF(AI109="","",VLOOKUP(AI109,S4:U53,3,0))</f>
        <v>#VALUE!</v>
      </c>
      <c r="AK109" s="8" t="str">
        <f t="shared" si="73"/>
        <v/>
      </c>
      <c r="AM109" s="71" t="e">
        <f t="shared" si="74"/>
        <v>#VALUE!</v>
      </c>
      <c r="AN109" s="71" t="str">
        <f>IF(OR(COUNTBLANK(AQ109)=1,ISERROR(AQ109)),"",COUNT(AQ4:AQ109))</f>
        <v/>
      </c>
      <c r="AO109" s="7" t="e">
        <f t="shared" si="75"/>
        <v>#VALUE!</v>
      </c>
      <c r="AP109" s="1" t="str">
        <f>IF(ISERROR(INDEX(C4:C8,MATCH(H109,D4:D8,0))),"",INDEX(C4:C8,MATCH(H109,D4:D8,0)))</f>
        <v/>
      </c>
      <c r="AQ109" s="79" t="e">
        <f>IF(IF(COUNTIF(AQ4:AQ108,AQ106)&gt;=MAX(D4:D8),AQ106+3,AQ106)&gt;50,"",IF(COUNTIF(AQ4:AQ108,AQ106)&gt;=MAX(D4:D8),AQ106+3,AQ106))</f>
        <v>#VALUE!</v>
      </c>
      <c r="AR109" s="1" t="e">
        <f>IF(AQ109="","",VLOOKUP(AQ109,S4:U53,3,0))</f>
        <v>#VALUE!</v>
      </c>
      <c r="AS109" s="8" t="str">
        <f t="shared" si="76"/>
        <v/>
      </c>
      <c r="AU109" s="71" t="e">
        <f t="shared" si="77"/>
        <v>#VALUE!</v>
      </c>
      <c r="AV109" s="71" t="str">
        <f>IF(OR(COUNTBLANK(AY109)=1,ISERROR(AY109)),"",COUNT(AY4:AY109))</f>
        <v/>
      </c>
      <c r="AW109" s="7" t="e">
        <f t="shared" si="78"/>
        <v>#VALUE!</v>
      </c>
      <c r="AX109" s="1" t="str">
        <f>IF(ISERROR(INDEX(C4:C8,MATCH(I109,D4:D8,0))),"",INDEX(C4:C8,MATCH(I109,D4:D8,0)))</f>
        <v/>
      </c>
      <c r="AY109" s="79" t="e">
        <f>IF(IF(COUNTIF(AY4:AY108,AY105)&gt;=MAX(D4:D8),AY105+4,AY105)&gt;50,"",IF(COUNTIF(AY4:AY108,AY105)&gt;=MAX(D4:D8),AY105+4,AY105))</f>
        <v>#VALUE!</v>
      </c>
      <c r="AZ109" s="76" t="e">
        <f>IF(AY109="","",VLOOKUP(AY109,S4:U53,3,0))</f>
        <v>#VALUE!</v>
      </c>
      <c r="BA109" s="8" t="str">
        <f t="shared" si="79"/>
        <v/>
      </c>
      <c r="BC109" s="71" t="e">
        <f t="shared" si="80"/>
        <v>#VALUE!</v>
      </c>
      <c r="BD109" s="71" t="str">
        <f>IF(OR(COUNTBLANK(BG109)=1,ISERROR(BG109)),"",COUNT(BG4:BG109))</f>
        <v/>
      </c>
      <c r="BE109" s="7" t="e">
        <f t="shared" si="81"/>
        <v>#VALUE!</v>
      </c>
      <c r="BF109" s="1" t="str">
        <f>IF(ISERROR(INDEX(C4:C8,MATCH(J109,D4:D8,0))),"",INDEX(C4:C8,MATCH(J109,D4:D8,0)))</f>
        <v/>
      </c>
      <c r="BG109" s="79" t="e">
        <f>IF(IF(COUNTIF(BG4:BG108,BG104)&gt;=MAX(D4:D8),BG104+5,BG104)&gt;50,"",IF(COUNTIF(BG4:BG108,BG104)&gt;=MAX(D4:D8),BG104+5,BG104))</f>
        <v>#VALUE!</v>
      </c>
      <c r="BH109" s="76" t="e">
        <f>IF(BG109="","",VLOOKUP(BG109,S4:U53,3,0))</f>
        <v>#VALUE!</v>
      </c>
      <c r="BI109" s="8" t="str">
        <f t="shared" si="82"/>
        <v/>
      </c>
      <c r="BP109" s="71" t="e">
        <f>IF(BT109="","",BT109*10+1)</f>
        <v>#VALUE!</v>
      </c>
      <c r="BQ109" s="71" t="str">
        <f>IF(OR(COUNTBLANK(BT109)=1,ISERROR(BT109)),"",COUNT(BT4:BT109))</f>
        <v/>
      </c>
      <c r="BR109" s="7" t="e">
        <f t="shared" si="84"/>
        <v>#VALUE!</v>
      </c>
      <c r="BS109" s="1" t="str">
        <f t="shared" si="85"/>
        <v/>
      </c>
      <c r="BT109" s="79" t="e">
        <f>IF(IF(COUNTIF($BT$4:BT108,BT108)&gt;=MAX($D$4:$D$8),BT108+1,BT108)&gt;55,"",IF(COUNTIF($BT$4:BT108,BT108)&gt;=MAX($D$4:$D$8),BT108+1,BT108))</f>
        <v>#VALUE!</v>
      </c>
      <c r="BU109" s="1" t="e">
        <f t="shared" si="86"/>
        <v>#VALUE!</v>
      </c>
      <c r="BV109" s="8" t="str">
        <f t="shared" si="87"/>
        <v/>
      </c>
      <c r="BX109" s="71" t="e">
        <f t="shared" si="88"/>
        <v>#VALUE!</v>
      </c>
      <c r="BY109" s="71" t="str">
        <f>IF(OR(COUNTBLANK(CB109)=1,ISERROR(CB109)),"",COUNT($CB$4:CB109))</f>
        <v/>
      </c>
      <c r="BZ109" s="7" t="e">
        <f t="shared" si="89"/>
        <v>#VALUE!</v>
      </c>
      <c r="CA109" s="1" t="str">
        <f t="shared" si="90"/>
        <v/>
      </c>
      <c r="CB109" s="79" t="e">
        <f>IF(IF(COUNTIF($CB$4:CB108,CB107)&gt;=MAX($D$4:$D$8),CB107+2,CB107)&gt;55,"",IF(COUNTIF($CB$4:CB108,CB107)&gt;=MAX($D$4:$D$8),CB107+2,CB107))</f>
        <v>#VALUE!</v>
      </c>
      <c r="CC109" s="1" t="e">
        <f t="shared" si="91"/>
        <v>#VALUE!</v>
      </c>
      <c r="CD109" s="8" t="str">
        <f t="shared" si="92"/>
        <v/>
      </c>
      <c r="CF109" s="71" t="e">
        <f t="shared" si="105"/>
        <v>#VALUE!</v>
      </c>
      <c r="CG109" s="71" t="str">
        <f>IF(OR(COUNTBLANK(CJ109)=1,ISERROR(CJ109)),"",COUNT($CJ$4:CJ109))</f>
        <v/>
      </c>
      <c r="CH109" s="7" t="e">
        <f t="shared" si="106"/>
        <v>#VALUE!</v>
      </c>
      <c r="CI109" s="1" t="str">
        <f t="shared" si="107"/>
        <v/>
      </c>
      <c r="CJ109" s="79" t="e">
        <f>IF(IF(COUNTIF($CJ$4:CJ108,CJ106)&gt;=MAX($D$4:$D$8),CJ106+3,CJ106)&gt;55,"",IF(COUNTIF($CJ$4:CJ108,CJ106)&gt;=MAX($D$4:$D$8),CJ106+3,CJ106))</f>
        <v>#VALUE!</v>
      </c>
      <c r="CK109" s="1" t="e">
        <f t="shared" si="93"/>
        <v>#VALUE!</v>
      </c>
      <c r="CL109" s="8" t="str">
        <f t="shared" si="108"/>
        <v/>
      </c>
      <c r="CN109" s="71" t="e">
        <f t="shared" si="99"/>
        <v>#VALUE!</v>
      </c>
      <c r="CO109" s="71" t="str">
        <f>IF(OR(COUNTBLANK(CR109)=1,ISERROR(CR109)),"",COUNT($CR$4:CR109))</f>
        <v/>
      </c>
      <c r="CP109" s="7" t="e">
        <f t="shared" si="100"/>
        <v>#VALUE!</v>
      </c>
      <c r="CQ109" s="1" t="str">
        <f t="shared" si="101"/>
        <v/>
      </c>
      <c r="CR109" s="79" t="e">
        <f>IF(IF(COUNTIF($CR$4:CR108,CR105)&gt;=MAX($D$4:$D$8),CR105+4,CR105)&gt;55,"",IF(COUNTIF($CR$4:CR108,CR105)&gt;=MAX($D$4:$D$8),CR105+4,CR105))</f>
        <v>#VALUE!</v>
      </c>
      <c r="CS109" s="1" t="e">
        <f t="shared" si="94"/>
        <v>#VALUE!</v>
      </c>
      <c r="CT109" s="8" t="str">
        <f t="shared" si="102"/>
        <v/>
      </c>
      <c r="CV109" s="71" t="e">
        <f t="shared" si="109"/>
        <v>#VALUE!</v>
      </c>
      <c r="CW109" s="71" t="str">
        <f>IF(OR(COUNTBLANK(CZ109)=1,ISERROR(CZ109)),"",COUNT($CZ$4:CZ109))</f>
        <v/>
      </c>
      <c r="CX109" s="7" t="e">
        <f t="shared" si="110"/>
        <v>#VALUE!</v>
      </c>
      <c r="CY109" s="1" t="str">
        <f t="shared" si="111"/>
        <v/>
      </c>
      <c r="CZ109" s="79" t="e">
        <f>IF(IF(COUNTIF($CZ$4:CZ108,CZ104)&gt;=MAX($D$4:$D$8),CZ104+5,CZ104)&gt;55,"",IF(COUNTIF($CZ$4:CZ108,CZ104)&gt;=MAX($D$4:$D$8),CZ104+5,CZ104))</f>
        <v>#VALUE!</v>
      </c>
      <c r="DA109" s="1" t="e">
        <f t="shared" si="95"/>
        <v>#VALUE!</v>
      </c>
      <c r="DB109" s="8" t="str">
        <f t="shared" si="112"/>
        <v/>
      </c>
    </row>
    <row r="110" spans="5:106" x14ac:dyDescent="0.15">
      <c r="E110" s="1">
        <v>107</v>
      </c>
      <c r="F110" s="1">
        <f t="shared" si="96"/>
        <v>1</v>
      </c>
      <c r="G110" s="1">
        <f t="shared" si="103"/>
        <v>1</v>
      </c>
      <c r="H110" s="1">
        <f t="shared" si="97"/>
        <v>1</v>
      </c>
      <c r="I110" s="1">
        <f t="shared" si="98"/>
        <v>1</v>
      </c>
      <c r="J110" s="1">
        <f t="shared" si="104"/>
        <v>1</v>
      </c>
      <c r="L110" s="1" t="str">
        <f>IF(ISERROR(HLOOKUP($C$10,$F$3:$J$253,108,0)),"",HLOOKUP($C$10,$F$3:$J$253,108,0))</f>
        <v/>
      </c>
      <c r="N110" s="67"/>
      <c r="W110" s="71" t="e">
        <f>IF(AA110="","",AA110*10+2)</f>
        <v>#VALUE!</v>
      </c>
      <c r="X110" s="71" t="str">
        <f>IF(OR(COUNTBLANK(AA110)=1,ISERROR(AA110)),"",COUNT(AA4:AA110))</f>
        <v/>
      </c>
      <c r="Y110" s="7" t="e">
        <f t="shared" si="69"/>
        <v>#VALUE!</v>
      </c>
      <c r="Z110" s="1" t="str">
        <f t="shared" si="83"/>
        <v/>
      </c>
      <c r="AA110" s="79" t="e">
        <f>IF(IF(COUNTIF(AA4:AA109,AA109)&gt;=MAX(D4:D8),AA109+1,AA109)&gt;50,"",IF(COUNTIF(AA4:AA109,AA109)&gt;=MAX(D4:D8),AA109+1,AA109))</f>
        <v>#VALUE!</v>
      </c>
      <c r="AB110" s="1" t="e">
        <f>IF(AA110="","",VLOOKUP(AA110,S4:U53,3,0))</f>
        <v>#VALUE!</v>
      </c>
      <c r="AC110" s="8" t="str">
        <f t="shared" si="70"/>
        <v/>
      </c>
      <c r="AE110" s="71" t="e">
        <f t="shared" si="71"/>
        <v>#VALUE!</v>
      </c>
      <c r="AF110" s="71" t="str">
        <f>IF(OR(COUNTBLANK(AI110)=1,ISERROR(AI110)),"",COUNT(AI4:AI110))</f>
        <v/>
      </c>
      <c r="AG110" s="7" t="e">
        <f t="shared" si="72"/>
        <v>#VALUE!</v>
      </c>
      <c r="AH110" s="1" t="str">
        <f>IF(ISERROR(INDEX(C4:C8,MATCH(G110,D4:D8,0))),"",INDEX(C4:C8,MATCH(G110,D4:D8,0)))</f>
        <v/>
      </c>
      <c r="AI110" s="79" t="e">
        <f>IF(IF(COUNTIF(AI4:AI109,AI108)&gt;=MAX(D4:D8),AI108+2,AI108)&gt;50,"",IF(COUNTIF(AI4:AI109,AI108)&gt;=MAX(D4:D8),AI108+2,AI108))</f>
        <v>#VALUE!</v>
      </c>
      <c r="AJ110" s="1" t="e">
        <f>IF(AI110="","",VLOOKUP(AI110,S4:U53,3,0))</f>
        <v>#VALUE!</v>
      </c>
      <c r="AK110" s="8" t="str">
        <f t="shared" si="73"/>
        <v/>
      </c>
      <c r="AM110" s="71" t="e">
        <f t="shared" si="74"/>
        <v>#VALUE!</v>
      </c>
      <c r="AN110" s="71" t="str">
        <f>IF(OR(COUNTBLANK(AQ110)=1,ISERROR(AQ110)),"",COUNT(AQ4:AQ110))</f>
        <v/>
      </c>
      <c r="AO110" s="7" t="e">
        <f t="shared" si="75"/>
        <v>#VALUE!</v>
      </c>
      <c r="AP110" s="1" t="str">
        <f>IF(ISERROR(INDEX(C4:C8,MATCH(H110,D4:D8,0))),"",INDEX(C4:C8,MATCH(H110,D4:D8,0)))</f>
        <v/>
      </c>
      <c r="AQ110" s="79" t="e">
        <f>IF(IF(COUNTIF(AQ4:AQ109,AQ107)&gt;=MAX(D4:D8),AQ107+3,AQ107)&gt;50,"",IF(COUNTIF(AQ4:AQ109,AQ107)&gt;=MAX(D4:D8),AQ107+3,AQ107))</f>
        <v>#VALUE!</v>
      </c>
      <c r="AR110" s="1" t="e">
        <f>IF(AQ110="","",VLOOKUP(AQ110,S4:U53,3,0))</f>
        <v>#VALUE!</v>
      </c>
      <c r="AS110" s="8" t="str">
        <f t="shared" si="76"/>
        <v/>
      </c>
      <c r="AU110" s="71" t="e">
        <f t="shared" si="77"/>
        <v>#VALUE!</v>
      </c>
      <c r="AV110" s="71" t="str">
        <f>IF(OR(COUNTBLANK(AY110)=1,ISERROR(AY110)),"",COUNT(AY4:AY110))</f>
        <v/>
      </c>
      <c r="AW110" s="7" t="e">
        <f t="shared" si="78"/>
        <v>#VALUE!</v>
      </c>
      <c r="AX110" s="1" t="str">
        <f>IF(ISERROR(INDEX(C4:C8,MATCH(I110,D4:D8,0))),"",INDEX(C4:C8,MATCH(I110,D4:D8,0)))</f>
        <v/>
      </c>
      <c r="AY110" s="79" t="e">
        <f>IF(IF(COUNTIF(AY4:AY109,AY106)&gt;=MAX(D4:D8),AY106+4,AY106)&gt;50,"",IF(COUNTIF(AY4:AY109,AY106)&gt;=MAX(D4:D8),AY106+4,AY106))</f>
        <v>#VALUE!</v>
      </c>
      <c r="AZ110" s="76" t="e">
        <f>IF(AY110="","",VLOOKUP(AY110,S4:U53,3,0))</f>
        <v>#VALUE!</v>
      </c>
      <c r="BA110" s="8" t="str">
        <f t="shared" si="79"/>
        <v/>
      </c>
      <c r="BC110" s="71" t="e">
        <f t="shared" si="80"/>
        <v>#VALUE!</v>
      </c>
      <c r="BD110" s="71" t="str">
        <f>IF(OR(COUNTBLANK(BG110)=1,ISERROR(BG110)),"",COUNT(BG4:BG110))</f>
        <v/>
      </c>
      <c r="BE110" s="7" t="e">
        <f t="shared" si="81"/>
        <v>#VALUE!</v>
      </c>
      <c r="BF110" s="1" t="str">
        <f>IF(ISERROR(INDEX(C4:C8,MATCH(J110,D4:D8,0))),"",INDEX(C4:C8,MATCH(J110,D4:D8,0)))</f>
        <v/>
      </c>
      <c r="BG110" s="79" t="e">
        <f>IF(IF(COUNTIF(BG4:BG109,BG105)&gt;=MAX(D4:D8),BG105+5,BG105)&gt;50,"",IF(COUNTIF(BG4:BG109,BG105)&gt;=MAX(D4:D8),BG105+5,BG105))</f>
        <v>#VALUE!</v>
      </c>
      <c r="BH110" s="76" t="e">
        <f>IF(BG110="","",VLOOKUP(BG110,S4:U53,3,0))</f>
        <v>#VALUE!</v>
      </c>
      <c r="BI110" s="8" t="str">
        <f t="shared" si="82"/>
        <v/>
      </c>
      <c r="BP110" s="71" t="e">
        <f>IF(BT110="","",BT110*10+2)</f>
        <v>#VALUE!</v>
      </c>
      <c r="BQ110" s="71" t="str">
        <f>IF(OR(COUNTBLANK(BT110)=1,ISERROR(BT110)),"",COUNT(BT4:BT110))</f>
        <v/>
      </c>
      <c r="BR110" s="7" t="e">
        <f t="shared" si="84"/>
        <v>#VALUE!</v>
      </c>
      <c r="BS110" s="1" t="str">
        <f t="shared" si="85"/>
        <v/>
      </c>
      <c r="BT110" s="79" t="e">
        <f>IF(IF(COUNTIF($BT$4:BT109,BT109)&gt;=MAX($D$4:$D$8),BT109+1,BT109)&gt;55,"",IF(COUNTIF($BT$4:BT109,BT109)&gt;=MAX($D$4:$D$8),BT109+1,BT109))</f>
        <v>#VALUE!</v>
      </c>
      <c r="BU110" s="1" t="e">
        <f t="shared" si="86"/>
        <v>#VALUE!</v>
      </c>
      <c r="BV110" s="8" t="str">
        <f t="shared" si="87"/>
        <v/>
      </c>
      <c r="BX110" s="71" t="e">
        <f t="shared" si="88"/>
        <v>#VALUE!</v>
      </c>
      <c r="BY110" s="71" t="str">
        <f>IF(OR(COUNTBLANK(CB110)=1,ISERROR(CB110)),"",COUNT($CB$4:CB110))</f>
        <v/>
      </c>
      <c r="BZ110" s="7" t="e">
        <f t="shared" si="89"/>
        <v>#VALUE!</v>
      </c>
      <c r="CA110" s="1" t="str">
        <f t="shared" si="90"/>
        <v/>
      </c>
      <c r="CB110" s="79" t="e">
        <f>IF(IF(COUNTIF($CB$4:CB109,CB108)&gt;=MAX($D$4:$D$8),CB108+2,CB108)&gt;55,"",IF(COUNTIF($CB$4:CB109,CB108)&gt;=MAX($D$4:$D$8),CB108+2,CB108))</f>
        <v>#VALUE!</v>
      </c>
      <c r="CC110" s="1" t="e">
        <f t="shared" si="91"/>
        <v>#VALUE!</v>
      </c>
      <c r="CD110" s="8" t="str">
        <f t="shared" si="92"/>
        <v/>
      </c>
      <c r="CF110" s="71" t="e">
        <f t="shared" si="105"/>
        <v>#VALUE!</v>
      </c>
      <c r="CG110" s="71" t="str">
        <f>IF(OR(COUNTBLANK(CJ110)=1,ISERROR(CJ110)),"",COUNT($CJ$4:CJ110))</f>
        <v/>
      </c>
      <c r="CH110" s="7" t="e">
        <f t="shared" si="106"/>
        <v>#VALUE!</v>
      </c>
      <c r="CI110" s="1" t="str">
        <f t="shared" si="107"/>
        <v/>
      </c>
      <c r="CJ110" s="79" t="e">
        <f>IF(IF(COUNTIF($CJ$4:CJ109,CJ107)&gt;=MAX($D$4:$D$8),CJ107+3,CJ107)&gt;55,"",IF(COUNTIF($CJ$4:CJ109,CJ107)&gt;=MAX($D$4:$D$8),CJ107+3,CJ107))</f>
        <v>#VALUE!</v>
      </c>
      <c r="CK110" s="1" t="e">
        <f t="shared" si="93"/>
        <v>#VALUE!</v>
      </c>
      <c r="CL110" s="8" t="str">
        <f t="shared" si="108"/>
        <v/>
      </c>
      <c r="CN110" s="71" t="e">
        <f t="shared" si="99"/>
        <v>#VALUE!</v>
      </c>
      <c r="CO110" s="71" t="str">
        <f>IF(OR(COUNTBLANK(CR110)=1,ISERROR(CR110)),"",COUNT($CR$4:CR110))</f>
        <v/>
      </c>
      <c r="CP110" s="7" t="e">
        <f t="shared" si="100"/>
        <v>#VALUE!</v>
      </c>
      <c r="CQ110" s="1" t="str">
        <f t="shared" si="101"/>
        <v/>
      </c>
      <c r="CR110" s="79" t="e">
        <f>IF(IF(COUNTIF($CR$4:CR109,CR106)&gt;=MAX($D$4:$D$8),CR106+4,CR106)&gt;55,"",IF(COUNTIF($CR$4:CR109,CR106)&gt;=MAX($D$4:$D$8),CR106+4,CR106))</f>
        <v>#VALUE!</v>
      </c>
      <c r="CS110" s="1" t="e">
        <f t="shared" si="94"/>
        <v>#VALUE!</v>
      </c>
      <c r="CT110" s="8" t="str">
        <f t="shared" si="102"/>
        <v/>
      </c>
      <c r="CV110" s="71" t="e">
        <f t="shared" si="109"/>
        <v>#VALUE!</v>
      </c>
      <c r="CW110" s="71" t="str">
        <f>IF(OR(COUNTBLANK(CZ110)=1,ISERROR(CZ110)),"",COUNT($CZ$4:CZ110))</f>
        <v/>
      </c>
      <c r="CX110" s="7" t="e">
        <f t="shared" si="110"/>
        <v>#VALUE!</v>
      </c>
      <c r="CY110" s="1" t="str">
        <f t="shared" si="111"/>
        <v/>
      </c>
      <c r="CZ110" s="79" t="e">
        <f>IF(IF(COUNTIF($CZ$4:CZ109,CZ105)&gt;=MAX($D$4:$D$8),CZ105+5,CZ105)&gt;55,"",IF(COUNTIF($CZ$4:CZ109,CZ105)&gt;=MAX($D$4:$D$8),CZ105+5,CZ105))</f>
        <v>#VALUE!</v>
      </c>
      <c r="DA110" s="1" t="e">
        <f t="shared" si="95"/>
        <v>#VALUE!</v>
      </c>
      <c r="DB110" s="8" t="str">
        <f t="shared" si="112"/>
        <v/>
      </c>
    </row>
    <row r="111" spans="5:106" x14ac:dyDescent="0.15">
      <c r="E111" s="1">
        <v>108</v>
      </c>
      <c r="F111" s="1">
        <f t="shared" si="96"/>
        <v>1</v>
      </c>
      <c r="G111" s="1">
        <f t="shared" si="103"/>
        <v>1</v>
      </c>
      <c r="H111" s="1">
        <f t="shared" si="97"/>
        <v>1</v>
      </c>
      <c r="I111" s="1">
        <f t="shared" si="98"/>
        <v>1</v>
      </c>
      <c r="J111" s="1">
        <f t="shared" si="104"/>
        <v>1</v>
      </c>
      <c r="L111" s="1" t="str">
        <f>IF(ISERROR(HLOOKUP($C$10,$F$3:$J$253,109,0)),"",HLOOKUP($C$10,$F$3:$J$253,109,0))</f>
        <v/>
      </c>
      <c r="N111" s="67"/>
      <c r="W111" s="71" t="e">
        <f>IF(AA111="","",AA111*10+3)</f>
        <v>#VALUE!</v>
      </c>
      <c r="X111" s="71" t="str">
        <f>IF(OR(COUNTBLANK(AA111)=1,ISERROR(AA111)),"",COUNT(AA4:AA111))</f>
        <v/>
      </c>
      <c r="Y111" s="7" t="e">
        <f t="shared" si="69"/>
        <v>#VALUE!</v>
      </c>
      <c r="Z111" s="1" t="str">
        <f t="shared" si="83"/>
        <v/>
      </c>
      <c r="AA111" s="79" t="e">
        <f>IF(IF(COUNTIF(AA4:AA110,AA110)&gt;=MAX(D4:D8),AA110+1,AA110)&gt;50,"",IF(COUNTIF(AA4:AA110,AA110)&gt;=MAX(D4:D8),AA110+1,AA110))</f>
        <v>#VALUE!</v>
      </c>
      <c r="AB111" s="1" t="e">
        <f>IF(AA111="","",VLOOKUP(AA111,S4:U53,3,0))</f>
        <v>#VALUE!</v>
      </c>
      <c r="AC111" s="8" t="str">
        <f t="shared" si="70"/>
        <v/>
      </c>
      <c r="AE111" s="71" t="e">
        <f t="shared" si="71"/>
        <v>#VALUE!</v>
      </c>
      <c r="AF111" s="71" t="str">
        <f>IF(OR(COUNTBLANK(AI111)=1,ISERROR(AI111)),"",COUNT(AI4:AI111))</f>
        <v/>
      </c>
      <c r="AG111" s="7" t="e">
        <f t="shared" si="72"/>
        <v>#VALUE!</v>
      </c>
      <c r="AH111" s="1" t="str">
        <f>IF(ISERROR(INDEX(C4:C8,MATCH(G111,D4:D8,0))),"",INDEX(C4:C8,MATCH(G111,D4:D8,0)))</f>
        <v/>
      </c>
      <c r="AI111" s="79" t="e">
        <f>IF(IF(COUNTIF(AI4:AI109,AI109)&gt;=MAX(D4:D8),AI109+2,AI109)&gt;50,"",IF(COUNTIF(AI4:AI109,AI109)&gt;=MAX(D4:D8),AI109+2,AI109))</f>
        <v>#VALUE!</v>
      </c>
      <c r="AJ111" s="1" t="e">
        <f>IF(AI111="","",VLOOKUP(AI111,S4:U53,3,0))</f>
        <v>#VALUE!</v>
      </c>
      <c r="AK111" s="8" t="str">
        <f t="shared" si="73"/>
        <v/>
      </c>
      <c r="AM111" s="71" t="e">
        <f t="shared" si="74"/>
        <v>#VALUE!</v>
      </c>
      <c r="AN111" s="71" t="str">
        <f>IF(OR(COUNTBLANK(AQ111)=1,ISERROR(AQ111)),"",COUNT(AQ4:AQ111))</f>
        <v/>
      </c>
      <c r="AO111" s="7" t="e">
        <f t="shared" si="75"/>
        <v>#VALUE!</v>
      </c>
      <c r="AP111" s="1" t="str">
        <f>IF(ISERROR(INDEX(C4:C8,MATCH(H111,D4:D8,0))),"",INDEX(C4:C8,MATCH(H111,D4:D8,0)))</f>
        <v/>
      </c>
      <c r="AQ111" s="79" t="e">
        <f>IF(IF(COUNTIF(AQ4:AQ110,AQ108)&gt;=MAX(D4:D8),AQ108+3,AQ108)&gt;50,"",IF(COUNTIF(AQ4:AQ110,AQ108)&gt;=MAX(D4:D8),AQ108+3,AQ108))</f>
        <v>#VALUE!</v>
      </c>
      <c r="AR111" s="1" t="e">
        <f>IF(AQ111="","",VLOOKUP(AQ111,S4:U53,3,0))</f>
        <v>#VALUE!</v>
      </c>
      <c r="AS111" s="8" t="str">
        <f t="shared" si="76"/>
        <v/>
      </c>
      <c r="AU111" s="71" t="e">
        <f t="shared" si="77"/>
        <v>#VALUE!</v>
      </c>
      <c r="AV111" s="71" t="str">
        <f>IF(OR(COUNTBLANK(AY111)=1,ISERROR(AY111)),"",COUNT(AY4:AY111))</f>
        <v/>
      </c>
      <c r="AW111" s="7" t="e">
        <f t="shared" si="78"/>
        <v>#VALUE!</v>
      </c>
      <c r="AX111" s="1" t="str">
        <f>IF(ISERROR(INDEX(C4:C8,MATCH(I111,D4:D8,0))),"",INDEX(C4:C8,MATCH(I111,D4:D8,0)))</f>
        <v/>
      </c>
      <c r="AY111" s="79" t="e">
        <f>IF(IF(COUNTIF(AY4:AY110,AY107)&gt;=MAX(D4:D8),AY107+4,AY107)&gt;50,"",IF(COUNTIF(AY4:AY110,AY107)&gt;=MAX(D4:D8),AY107+4,AY107))</f>
        <v>#VALUE!</v>
      </c>
      <c r="AZ111" s="76" t="e">
        <f>IF(AY111="","",VLOOKUP(AY111,S4:U53,3,0))</f>
        <v>#VALUE!</v>
      </c>
      <c r="BA111" s="8" t="str">
        <f t="shared" si="79"/>
        <v/>
      </c>
      <c r="BC111" s="71" t="e">
        <f t="shared" si="80"/>
        <v>#VALUE!</v>
      </c>
      <c r="BD111" s="71" t="str">
        <f>IF(OR(COUNTBLANK(BG111)=1,ISERROR(BG111)),"",COUNT(BG4:BG111))</f>
        <v/>
      </c>
      <c r="BE111" s="7" t="e">
        <f t="shared" si="81"/>
        <v>#VALUE!</v>
      </c>
      <c r="BF111" s="1" t="str">
        <f>IF(ISERROR(INDEX(C4:C8,MATCH(J111,D4:D8,0))),"",INDEX(C4:C8,MATCH(J111,D4:D8,0)))</f>
        <v/>
      </c>
      <c r="BG111" s="79" t="e">
        <f>IF(IF(COUNTIF(BG4:BG110,BG106)&gt;=MAX(D4:D8),BG106+5,BG106)&gt;50,"",IF(COUNTIF(BG4:BG110,BG106)&gt;=MAX(D4:D8),BG106+5,BG106))</f>
        <v>#VALUE!</v>
      </c>
      <c r="BH111" s="76" t="e">
        <f>IF(BG111="","",VLOOKUP(BG111,S4:U53,3,0))</f>
        <v>#VALUE!</v>
      </c>
      <c r="BI111" s="8" t="str">
        <f t="shared" si="82"/>
        <v/>
      </c>
      <c r="BP111" s="71" t="e">
        <f>IF(BT111="","",BT111*10+3)</f>
        <v>#VALUE!</v>
      </c>
      <c r="BQ111" s="71" t="str">
        <f>IF(OR(COUNTBLANK(BT111)=1,ISERROR(BT111)),"",COUNT(BT4:BT111))</f>
        <v/>
      </c>
      <c r="BR111" s="7" t="e">
        <f t="shared" si="84"/>
        <v>#VALUE!</v>
      </c>
      <c r="BS111" s="1" t="str">
        <f t="shared" si="85"/>
        <v/>
      </c>
      <c r="BT111" s="79" t="e">
        <f>IF(IF(COUNTIF($BT$4:BT110,BT110)&gt;=MAX($D$4:$D$8),BT110+1,BT110)&gt;55,"",IF(COUNTIF($BT$4:BT110,BT110)&gt;=MAX($D$4:$D$8),BT110+1,BT110))</f>
        <v>#VALUE!</v>
      </c>
      <c r="BU111" s="1" t="e">
        <f t="shared" si="86"/>
        <v>#VALUE!</v>
      </c>
      <c r="BV111" s="8" t="str">
        <f t="shared" si="87"/>
        <v/>
      </c>
      <c r="BX111" s="71" t="e">
        <f t="shared" si="88"/>
        <v>#VALUE!</v>
      </c>
      <c r="BY111" s="71" t="str">
        <f>IF(OR(COUNTBLANK(CB111)=1,ISERROR(CB111)),"",COUNT($CB$4:CB111))</f>
        <v/>
      </c>
      <c r="BZ111" s="7" t="e">
        <f t="shared" si="89"/>
        <v>#VALUE!</v>
      </c>
      <c r="CA111" s="1" t="str">
        <f t="shared" si="90"/>
        <v/>
      </c>
      <c r="CB111" s="79" t="e">
        <f>IF(IF(COUNTIF($CB$4:CB110,CB109)&gt;=MAX($D$4:$D$8),CB109+2,CB109)&gt;55,"",IF(COUNTIF($CB$4:CB110,CB109)&gt;=MAX($D$4:$D$8),CB109+2,CB109))</f>
        <v>#VALUE!</v>
      </c>
      <c r="CC111" s="1" t="e">
        <f t="shared" si="91"/>
        <v>#VALUE!</v>
      </c>
      <c r="CD111" s="8" t="str">
        <f t="shared" si="92"/>
        <v/>
      </c>
      <c r="CF111" s="71" t="e">
        <f t="shared" si="105"/>
        <v>#VALUE!</v>
      </c>
      <c r="CG111" s="71" t="str">
        <f>IF(OR(COUNTBLANK(CJ111)=1,ISERROR(CJ111)),"",COUNT($CJ$4:CJ111))</f>
        <v/>
      </c>
      <c r="CH111" s="7" t="e">
        <f t="shared" si="106"/>
        <v>#VALUE!</v>
      </c>
      <c r="CI111" s="1" t="str">
        <f t="shared" si="107"/>
        <v/>
      </c>
      <c r="CJ111" s="79" t="e">
        <f>IF(IF(COUNTIF($CJ$4:CJ110,CJ108)&gt;=MAX($D$4:$D$8),CJ108+3,CJ108)&gt;55,"",IF(COUNTIF($CJ$4:CJ110,CJ108)&gt;=MAX($D$4:$D$8),CJ108+3,CJ108))</f>
        <v>#VALUE!</v>
      </c>
      <c r="CK111" s="1" t="e">
        <f t="shared" si="93"/>
        <v>#VALUE!</v>
      </c>
      <c r="CL111" s="8" t="str">
        <f t="shared" si="108"/>
        <v/>
      </c>
      <c r="CN111" s="71" t="e">
        <f t="shared" si="99"/>
        <v>#VALUE!</v>
      </c>
      <c r="CO111" s="71" t="str">
        <f>IF(OR(COUNTBLANK(CR111)=1,ISERROR(CR111)),"",COUNT($CR$4:CR111))</f>
        <v/>
      </c>
      <c r="CP111" s="7" t="e">
        <f t="shared" si="100"/>
        <v>#VALUE!</v>
      </c>
      <c r="CQ111" s="1" t="str">
        <f t="shared" si="101"/>
        <v/>
      </c>
      <c r="CR111" s="79" t="e">
        <f>IF(IF(COUNTIF($CR$4:CR110,CR107)&gt;=MAX($D$4:$D$8),CR107+4,CR107)&gt;55,"",IF(COUNTIF($CR$4:CR110,CR107)&gt;=MAX($D$4:$D$8),CR107+4,CR107))</f>
        <v>#VALUE!</v>
      </c>
      <c r="CS111" s="1" t="e">
        <f t="shared" si="94"/>
        <v>#VALUE!</v>
      </c>
      <c r="CT111" s="8" t="str">
        <f t="shared" si="102"/>
        <v/>
      </c>
      <c r="CV111" s="71" t="e">
        <f t="shared" si="109"/>
        <v>#VALUE!</v>
      </c>
      <c r="CW111" s="71" t="str">
        <f>IF(OR(COUNTBLANK(CZ111)=1,ISERROR(CZ111)),"",COUNT($CZ$4:CZ111))</f>
        <v/>
      </c>
      <c r="CX111" s="7" t="e">
        <f t="shared" si="110"/>
        <v>#VALUE!</v>
      </c>
      <c r="CY111" s="1" t="str">
        <f t="shared" si="111"/>
        <v/>
      </c>
      <c r="CZ111" s="79" t="e">
        <f>IF(IF(COUNTIF($CZ$4:CZ110,CZ106)&gt;=MAX($D$4:$D$8),CZ106+5,CZ106)&gt;55,"",IF(COUNTIF($CZ$4:CZ110,CZ106)&gt;=MAX($D$4:$D$8),CZ106+5,CZ106))</f>
        <v>#VALUE!</v>
      </c>
      <c r="DA111" s="1" t="e">
        <f t="shared" si="95"/>
        <v>#VALUE!</v>
      </c>
      <c r="DB111" s="8" t="str">
        <f t="shared" si="112"/>
        <v/>
      </c>
    </row>
    <row r="112" spans="5:106" x14ac:dyDescent="0.15">
      <c r="E112" s="1">
        <v>109</v>
      </c>
      <c r="F112" s="1">
        <f t="shared" si="96"/>
        <v>1</v>
      </c>
      <c r="G112" s="1">
        <f t="shared" si="103"/>
        <v>1</v>
      </c>
      <c r="H112" s="1">
        <f t="shared" si="97"/>
        <v>1</v>
      </c>
      <c r="I112" s="1">
        <f t="shared" si="98"/>
        <v>1</v>
      </c>
      <c r="J112" s="1">
        <f t="shared" si="104"/>
        <v>1</v>
      </c>
      <c r="L112" s="1" t="str">
        <f>IF(ISERROR(HLOOKUP($C$10,$F$3:$J$253,110,0)),"",HLOOKUP($C$10,$F$3:$J$253,110,0))</f>
        <v/>
      </c>
      <c r="N112" s="67"/>
      <c r="W112" s="71" t="e">
        <f>IF(AA112="","",AA112*10+4)</f>
        <v>#VALUE!</v>
      </c>
      <c r="X112" s="71" t="str">
        <f>IF(OR(COUNTBLANK(AA112)=1,ISERROR(AA112)),"",COUNT(AA4:AA112))</f>
        <v/>
      </c>
      <c r="Y112" s="7" t="e">
        <f t="shared" si="69"/>
        <v>#VALUE!</v>
      </c>
      <c r="Z112" s="1" t="str">
        <f t="shared" si="83"/>
        <v/>
      </c>
      <c r="AA112" s="79" t="e">
        <f>IF(IF(COUNTIF(AA4:AA111,AA111)&gt;=MAX(D4:D8),AA111+1,AA111)&gt;50,"",IF(COUNTIF(AA4:AA111,AA111)&gt;=MAX(D4:D8),AA111+1,AA111))</f>
        <v>#VALUE!</v>
      </c>
      <c r="AB112" s="1" t="e">
        <f>IF(AA112="","",VLOOKUP(AA112,S4:U53,3,0))</f>
        <v>#VALUE!</v>
      </c>
      <c r="AC112" s="8" t="str">
        <f t="shared" si="70"/>
        <v/>
      </c>
      <c r="AE112" s="71" t="e">
        <f t="shared" si="71"/>
        <v>#VALUE!</v>
      </c>
      <c r="AF112" s="71" t="str">
        <f>IF(OR(COUNTBLANK(AI112)=1,ISERROR(AI112)),"",COUNT(AI4:AI112))</f>
        <v/>
      </c>
      <c r="AG112" s="7" t="e">
        <f t="shared" si="72"/>
        <v>#VALUE!</v>
      </c>
      <c r="AH112" s="1" t="str">
        <f>IF(ISERROR(INDEX(C4:C8,MATCH(G112,D4:D8,0))),"",INDEX(C4:C8,MATCH(G112,D4:D8,0)))</f>
        <v/>
      </c>
      <c r="AI112" s="79" t="e">
        <f>IF(IF(COUNTIF(AI4:AI111,AI110)&gt;=MAX(D4:D8),AI110+2,AI110)&gt;50,"",IF(COUNTIF(AI4:AI111,AI110)&gt;=MAX(D4:D8),AI110+2,AI110))</f>
        <v>#VALUE!</v>
      </c>
      <c r="AJ112" s="1" t="e">
        <f>IF(AI112="","",VLOOKUP(AI112,S4:U53,3,0))</f>
        <v>#VALUE!</v>
      </c>
      <c r="AK112" s="8" t="str">
        <f t="shared" si="73"/>
        <v/>
      </c>
      <c r="AM112" s="71" t="e">
        <f t="shared" si="74"/>
        <v>#VALUE!</v>
      </c>
      <c r="AN112" s="71" t="str">
        <f>IF(OR(COUNTBLANK(AQ112)=1,ISERROR(AQ112)),"",COUNT(AQ4:AQ112))</f>
        <v/>
      </c>
      <c r="AO112" s="7" t="e">
        <f t="shared" si="75"/>
        <v>#VALUE!</v>
      </c>
      <c r="AP112" s="1" t="str">
        <f>IF(ISERROR(INDEX(C4:C8,MATCH(H112,D4:D8,0))),"",INDEX(C4:C8,MATCH(H112,D4:D8,0)))</f>
        <v/>
      </c>
      <c r="AQ112" s="79" t="e">
        <f>IF(IF(COUNTIF(AQ4:AQ111,AQ109)&gt;=MAX(D4:D8),AQ109+3,AQ109)&gt;50,"",IF(COUNTIF(AQ4:AQ111,AQ109)&gt;=MAX(D4:D8),AQ109+3,AQ109))</f>
        <v>#VALUE!</v>
      </c>
      <c r="AR112" s="1" t="e">
        <f>IF(AQ112="","",VLOOKUP(AQ112,S4:U53,3,0))</f>
        <v>#VALUE!</v>
      </c>
      <c r="AS112" s="8" t="str">
        <f t="shared" si="76"/>
        <v/>
      </c>
      <c r="AU112" s="71" t="e">
        <f t="shared" si="77"/>
        <v>#VALUE!</v>
      </c>
      <c r="AV112" s="71" t="str">
        <f>IF(OR(COUNTBLANK(AY112)=1,ISERROR(AY112)),"",COUNT(AY4:AY112))</f>
        <v/>
      </c>
      <c r="AW112" s="7" t="e">
        <f t="shared" si="78"/>
        <v>#VALUE!</v>
      </c>
      <c r="AX112" s="1" t="str">
        <f>IF(ISERROR(INDEX(C4:C8,MATCH(I112,D4:D8,0))),"",INDEX(C4:C8,MATCH(I112,D4:D8,0)))</f>
        <v/>
      </c>
      <c r="AY112" s="79" t="e">
        <f>IF(IF(COUNTIF(AY4:AY111,AY108)&gt;=MAX(D4:D8),AY108+4,AY108)&gt;50,"",IF(COUNTIF(AY4:AY111,AY108)&gt;=MAX(D4:D8),AY108+4,AY108))</f>
        <v>#VALUE!</v>
      </c>
      <c r="AZ112" s="76" t="e">
        <f>IF(AY112="","",VLOOKUP(AY112,S4:U53,3,0))</f>
        <v>#VALUE!</v>
      </c>
      <c r="BA112" s="8" t="str">
        <f t="shared" si="79"/>
        <v/>
      </c>
      <c r="BC112" s="71" t="e">
        <f t="shared" si="80"/>
        <v>#VALUE!</v>
      </c>
      <c r="BD112" s="71" t="str">
        <f>IF(OR(COUNTBLANK(BG112)=1,ISERROR(BG112)),"",COUNT(BG4:BG112))</f>
        <v/>
      </c>
      <c r="BE112" s="7" t="e">
        <f t="shared" si="81"/>
        <v>#VALUE!</v>
      </c>
      <c r="BF112" s="1" t="str">
        <f>IF(ISERROR(INDEX(C4:C8,MATCH(J112,D4:D8,0))),"",INDEX(C4:C8,MATCH(J112,D4:D8,0)))</f>
        <v/>
      </c>
      <c r="BG112" s="79" t="e">
        <f>IF(IF(COUNTIF(BG4:BG111,BG107)&gt;=MAX(D4:D8),BG107+5,BG107)&gt;50,"",IF(COUNTIF(BG4:BG111,BG107)&gt;=MAX(D4:D8),BG107+5,BG107))</f>
        <v>#VALUE!</v>
      </c>
      <c r="BH112" s="76" t="e">
        <f>IF(BG112="","",VLOOKUP(BG112,S4:U53,3,0))</f>
        <v>#VALUE!</v>
      </c>
      <c r="BI112" s="8" t="str">
        <f t="shared" si="82"/>
        <v/>
      </c>
      <c r="BP112" s="71" t="e">
        <f>IF(BT112="","",BT112*10+4)</f>
        <v>#VALUE!</v>
      </c>
      <c r="BQ112" s="71" t="str">
        <f>IF(OR(COUNTBLANK(BT112)=1,ISERROR(BT112)),"",COUNT(BT4:BT112))</f>
        <v/>
      </c>
      <c r="BR112" s="7" t="e">
        <f t="shared" si="84"/>
        <v>#VALUE!</v>
      </c>
      <c r="BS112" s="1" t="str">
        <f t="shared" si="85"/>
        <v/>
      </c>
      <c r="BT112" s="79" t="e">
        <f>IF(IF(COUNTIF($BT$4:BT111,BT111)&gt;=MAX($D$4:$D$8),BT111+1,BT111)&gt;55,"",IF(COUNTIF($BT$4:BT111,BT111)&gt;=MAX($D$4:$D$8),BT111+1,BT111))</f>
        <v>#VALUE!</v>
      </c>
      <c r="BU112" s="1" t="e">
        <f t="shared" si="86"/>
        <v>#VALUE!</v>
      </c>
      <c r="BV112" s="8" t="str">
        <f t="shared" si="87"/>
        <v/>
      </c>
      <c r="BX112" s="71" t="e">
        <f t="shared" si="88"/>
        <v>#VALUE!</v>
      </c>
      <c r="BY112" s="71" t="str">
        <f>IF(OR(COUNTBLANK(CB112)=1,ISERROR(CB112)),"",COUNT($CB$4:CB112))</f>
        <v/>
      </c>
      <c r="BZ112" s="7" t="e">
        <f t="shared" si="89"/>
        <v>#VALUE!</v>
      </c>
      <c r="CA112" s="1" t="str">
        <f t="shared" si="90"/>
        <v/>
      </c>
      <c r="CB112" s="79" t="e">
        <f>IF(IF(COUNTIF($CB$4:CB111,CB110)&gt;=MAX($D$4:$D$8),CB110+2,CB110)&gt;55,"",IF(COUNTIF($CB$4:CB111,CB110)&gt;=MAX($D$4:$D$8),CB110+2,CB110))</f>
        <v>#VALUE!</v>
      </c>
      <c r="CC112" s="1" t="e">
        <f t="shared" si="91"/>
        <v>#VALUE!</v>
      </c>
      <c r="CD112" s="8" t="str">
        <f t="shared" si="92"/>
        <v/>
      </c>
      <c r="CF112" s="71" t="e">
        <f t="shared" si="105"/>
        <v>#VALUE!</v>
      </c>
      <c r="CG112" s="71" t="str">
        <f>IF(OR(COUNTBLANK(CJ112)=1,ISERROR(CJ112)),"",COUNT($CJ$4:CJ112))</f>
        <v/>
      </c>
      <c r="CH112" s="7" t="e">
        <f t="shared" si="106"/>
        <v>#VALUE!</v>
      </c>
      <c r="CI112" s="1" t="str">
        <f t="shared" si="107"/>
        <v/>
      </c>
      <c r="CJ112" s="79" t="e">
        <f>IF(IF(COUNTIF($CJ$4:CJ111,CJ109)&gt;=MAX($D$4:$D$8),CJ109+3,CJ109)&gt;55,"",IF(COUNTIF($CJ$4:CJ111,CJ109)&gt;=MAX($D$4:$D$8),CJ109+3,CJ109))</f>
        <v>#VALUE!</v>
      </c>
      <c r="CK112" s="1" t="e">
        <f t="shared" si="93"/>
        <v>#VALUE!</v>
      </c>
      <c r="CL112" s="8" t="str">
        <f t="shared" si="108"/>
        <v/>
      </c>
      <c r="CN112" s="71" t="e">
        <f t="shared" si="99"/>
        <v>#VALUE!</v>
      </c>
      <c r="CO112" s="71" t="str">
        <f>IF(OR(COUNTBLANK(CR112)=1,ISERROR(CR112)),"",COUNT($CR$4:CR112))</f>
        <v/>
      </c>
      <c r="CP112" s="7" t="e">
        <f t="shared" si="100"/>
        <v>#VALUE!</v>
      </c>
      <c r="CQ112" s="1" t="str">
        <f t="shared" si="101"/>
        <v/>
      </c>
      <c r="CR112" s="79" t="e">
        <f>IF(IF(COUNTIF($CR$4:CR111,CR108)&gt;=MAX($D$4:$D$8),CR108+4,CR108)&gt;55,"",IF(COUNTIF($CR$4:CR111,CR108)&gt;=MAX($D$4:$D$8),CR108+4,CR108))</f>
        <v>#VALUE!</v>
      </c>
      <c r="CS112" s="1" t="e">
        <f t="shared" si="94"/>
        <v>#VALUE!</v>
      </c>
      <c r="CT112" s="8" t="str">
        <f t="shared" si="102"/>
        <v/>
      </c>
      <c r="CV112" s="71" t="e">
        <f t="shared" si="109"/>
        <v>#VALUE!</v>
      </c>
      <c r="CW112" s="71" t="str">
        <f>IF(OR(COUNTBLANK(CZ112)=1,ISERROR(CZ112)),"",COUNT($CZ$4:CZ112))</f>
        <v/>
      </c>
      <c r="CX112" s="7" t="e">
        <f t="shared" si="110"/>
        <v>#VALUE!</v>
      </c>
      <c r="CY112" s="1" t="str">
        <f t="shared" si="111"/>
        <v/>
      </c>
      <c r="CZ112" s="79" t="e">
        <f>IF(IF(COUNTIF($CZ$4:CZ111,CZ107)&gt;=MAX($D$4:$D$8),CZ107+5,CZ107)&gt;55,"",IF(COUNTIF($CZ$4:CZ111,CZ107)&gt;=MAX($D$4:$D$8),CZ107+5,CZ107))</f>
        <v>#VALUE!</v>
      </c>
      <c r="DA112" s="1" t="e">
        <f t="shared" si="95"/>
        <v>#VALUE!</v>
      </c>
      <c r="DB112" s="8" t="str">
        <f t="shared" si="112"/>
        <v/>
      </c>
    </row>
    <row r="113" spans="5:106" x14ac:dyDescent="0.15">
      <c r="E113" s="1">
        <v>110</v>
      </c>
      <c r="F113" s="1">
        <f t="shared" si="96"/>
        <v>1</v>
      </c>
      <c r="G113" s="1">
        <f t="shared" si="103"/>
        <v>1</v>
      </c>
      <c r="H113" s="1">
        <f t="shared" si="97"/>
        <v>1</v>
      </c>
      <c r="I113" s="1">
        <f t="shared" si="98"/>
        <v>1</v>
      </c>
      <c r="J113" s="1">
        <f t="shared" si="104"/>
        <v>1</v>
      </c>
      <c r="L113" s="1" t="str">
        <f>IF(ISERROR(HLOOKUP($C$10,$F$3:$J$253,111,0)),"",HLOOKUP($C$10,$F$3:$J$253,111,0))</f>
        <v/>
      </c>
      <c r="N113" s="67"/>
      <c r="W113" s="71" t="e">
        <f>IF(AA113="","",AA113*10+5)</f>
        <v>#VALUE!</v>
      </c>
      <c r="X113" s="71" t="str">
        <f>IF(OR(COUNTBLANK(AA113)=1,ISERROR(AA113)),"",COUNT(AA4:AA113))</f>
        <v/>
      </c>
      <c r="Y113" s="7" t="e">
        <f t="shared" si="69"/>
        <v>#VALUE!</v>
      </c>
      <c r="Z113" s="1" t="str">
        <f t="shared" si="83"/>
        <v/>
      </c>
      <c r="AA113" s="79" t="e">
        <f>IF(IF(COUNTIF(AA4:AA112,AA112)&gt;=MAX(D4:D8),AA112+1,AA112)&gt;50,"",IF(COUNTIF(AA4:AA112,AA112)&gt;=MAX(D4:D8),AA112+1,AA112))</f>
        <v>#VALUE!</v>
      </c>
      <c r="AB113" s="1" t="e">
        <f>IF(AA113="","",VLOOKUP(AA113,S4:U53,3,0))</f>
        <v>#VALUE!</v>
      </c>
      <c r="AC113" s="8" t="str">
        <f t="shared" si="70"/>
        <v/>
      </c>
      <c r="AE113" s="71" t="e">
        <f t="shared" si="71"/>
        <v>#VALUE!</v>
      </c>
      <c r="AF113" s="71" t="str">
        <f>IF(OR(COUNTBLANK(AI113)=1,ISERROR(AI113)),"",COUNT(AI4:AI113))</f>
        <v/>
      </c>
      <c r="AG113" s="7" t="e">
        <f t="shared" si="72"/>
        <v>#VALUE!</v>
      </c>
      <c r="AH113" s="1" t="str">
        <f>IF(ISERROR(INDEX(C4:C8,MATCH(G113,D4:D8,0))),"",INDEX(C4:C8,MATCH(G113,D4:D8,0)))</f>
        <v/>
      </c>
      <c r="AI113" s="79" t="e">
        <f>IF(IF(COUNTIF(AI4:AI111,AI111)&gt;=MAX(D4:D8),AI111+2,AI111)&gt;50,"",IF(COUNTIF(AI4:AI111,AI111)&gt;=MAX(D4:D8),AI111+2,AI111))</f>
        <v>#VALUE!</v>
      </c>
      <c r="AJ113" s="1" t="e">
        <f>IF(AI113="","",VLOOKUP(AI113,S4:U53,3,0))</f>
        <v>#VALUE!</v>
      </c>
      <c r="AK113" s="8" t="str">
        <f t="shared" si="73"/>
        <v/>
      </c>
      <c r="AM113" s="71" t="e">
        <f t="shared" si="74"/>
        <v>#VALUE!</v>
      </c>
      <c r="AN113" s="71" t="str">
        <f>IF(OR(COUNTBLANK(AQ113)=1,ISERROR(AQ113)),"",COUNT(AQ4:AQ113))</f>
        <v/>
      </c>
      <c r="AO113" s="7" t="e">
        <f t="shared" si="75"/>
        <v>#VALUE!</v>
      </c>
      <c r="AP113" s="1" t="str">
        <f>IF(ISERROR(INDEX(C4:C8,MATCH(H113,D4:D8,0))),"",INDEX(C4:C8,MATCH(H113,D4:D8,0)))</f>
        <v/>
      </c>
      <c r="AQ113" s="79" t="e">
        <f>IF(IF(COUNTIF(AQ4:AQ112,AQ110)&gt;=MAX(D4:D8),AQ110+3,AQ110)&gt;50,"",IF(COUNTIF(AQ4:AQ112,AQ110)&gt;=MAX(D4:D8),AQ110+3,AQ110))</f>
        <v>#VALUE!</v>
      </c>
      <c r="AR113" s="1" t="e">
        <f>IF(AQ113="","",VLOOKUP(AQ113,S4:U53,3,0))</f>
        <v>#VALUE!</v>
      </c>
      <c r="AS113" s="8" t="str">
        <f t="shared" si="76"/>
        <v/>
      </c>
      <c r="AU113" s="71" t="e">
        <f t="shared" si="77"/>
        <v>#VALUE!</v>
      </c>
      <c r="AV113" s="71" t="str">
        <f>IF(OR(COUNTBLANK(AY113)=1,ISERROR(AY113)),"",COUNT(AY4:AY113))</f>
        <v/>
      </c>
      <c r="AW113" s="7" t="e">
        <f t="shared" si="78"/>
        <v>#VALUE!</v>
      </c>
      <c r="AX113" s="1" t="str">
        <f>IF(ISERROR(INDEX(C4:C8,MATCH(I113,D4:D8,0))),"",INDEX(C4:C8,MATCH(I113,D4:D8,0)))</f>
        <v/>
      </c>
      <c r="AY113" s="79" t="e">
        <f>IF(IF(COUNTIF(AY4:AY112,AY109)&gt;=MAX(D4:D8),AY109+4,AY109)&gt;50,"",IF(COUNTIF(AY4:AY112,AY109)&gt;=MAX(D4:D8),AY109+4,AY109))</f>
        <v>#VALUE!</v>
      </c>
      <c r="AZ113" s="76" t="e">
        <f>IF(AY113="","",VLOOKUP(AY113,S4:U53,3,0))</f>
        <v>#VALUE!</v>
      </c>
      <c r="BA113" s="8" t="str">
        <f t="shared" si="79"/>
        <v/>
      </c>
      <c r="BC113" s="71" t="e">
        <f t="shared" si="80"/>
        <v>#VALUE!</v>
      </c>
      <c r="BD113" s="71" t="str">
        <f>IF(OR(COUNTBLANK(BG113)=1,ISERROR(BG113)),"",COUNT(BG4:BG113))</f>
        <v/>
      </c>
      <c r="BE113" s="7" t="e">
        <f t="shared" si="81"/>
        <v>#VALUE!</v>
      </c>
      <c r="BF113" s="1" t="str">
        <f>IF(ISERROR(INDEX(C4:C8,MATCH(J113,D4:D8,0))),"",INDEX(C4:C8,MATCH(J113,D4:D8,0)))</f>
        <v/>
      </c>
      <c r="BG113" s="79" t="e">
        <f>IF(IF(COUNTIF(BG4:BG112,BG108)&gt;=MAX(D4:D8),BG108+5,BG108)&gt;50,"",IF(COUNTIF(BG4:BG112,BG108)&gt;=MAX(D4:D8),BG108+5,BG108))</f>
        <v>#VALUE!</v>
      </c>
      <c r="BH113" s="76" t="e">
        <f>IF(BG113="","",VLOOKUP(BG113,S4:U53,3,0))</f>
        <v>#VALUE!</v>
      </c>
      <c r="BI113" s="8" t="str">
        <f t="shared" si="82"/>
        <v/>
      </c>
      <c r="BP113" s="71" t="e">
        <f>IF(BT113="","",BT113*10+5)</f>
        <v>#VALUE!</v>
      </c>
      <c r="BQ113" s="71" t="str">
        <f>IF(OR(COUNTBLANK(BT113)=1,ISERROR(BT113)),"",COUNT(BT4:BT113))</f>
        <v/>
      </c>
      <c r="BR113" s="7" t="e">
        <f t="shared" si="84"/>
        <v>#VALUE!</v>
      </c>
      <c r="BS113" s="1" t="str">
        <f t="shared" si="85"/>
        <v/>
      </c>
      <c r="BT113" s="79" t="e">
        <f>IF(IF(COUNTIF($BT$4:BT112,BT112)&gt;=MAX($D$4:$D$8),BT112+1,BT112)&gt;55,"",IF(COUNTIF($BT$4:BT112,BT112)&gt;=MAX($D$4:$D$8),BT112+1,BT112))</f>
        <v>#VALUE!</v>
      </c>
      <c r="BU113" s="1" t="e">
        <f t="shared" si="86"/>
        <v>#VALUE!</v>
      </c>
      <c r="BV113" s="8" t="str">
        <f t="shared" si="87"/>
        <v/>
      </c>
      <c r="BX113" s="71" t="e">
        <f t="shared" si="88"/>
        <v>#VALUE!</v>
      </c>
      <c r="BY113" s="71" t="str">
        <f>IF(OR(COUNTBLANK(CB113)=1,ISERROR(CB113)),"",COUNT($CB$4:CB113))</f>
        <v/>
      </c>
      <c r="BZ113" s="7" t="e">
        <f t="shared" si="89"/>
        <v>#VALUE!</v>
      </c>
      <c r="CA113" s="1" t="str">
        <f t="shared" si="90"/>
        <v/>
      </c>
      <c r="CB113" s="79" t="e">
        <f>IF(IF(COUNTIF($CB$4:CB112,CB111)&gt;=MAX($D$4:$D$8),CB111+2,CB111)&gt;55,"",IF(COUNTIF($CB$4:CB112,CB111)&gt;=MAX($D$4:$D$8),CB111+2,CB111))</f>
        <v>#VALUE!</v>
      </c>
      <c r="CC113" s="1" t="e">
        <f t="shared" si="91"/>
        <v>#VALUE!</v>
      </c>
      <c r="CD113" s="8" t="str">
        <f t="shared" si="92"/>
        <v/>
      </c>
      <c r="CF113" s="71" t="e">
        <f t="shared" si="105"/>
        <v>#VALUE!</v>
      </c>
      <c r="CG113" s="71" t="str">
        <f>IF(OR(COUNTBLANK(CJ113)=1,ISERROR(CJ113)),"",COUNT($CJ$4:CJ113))</f>
        <v/>
      </c>
      <c r="CH113" s="7" t="e">
        <f t="shared" si="106"/>
        <v>#VALUE!</v>
      </c>
      <c r="CI113" s="1" t="str">
        <f t="shared" si="107"/>
        <v/>
      </c>
      <c r="CJ113" s="79" t="e">
        <f>IF(IF(COUNTIF($CJ$4:CJ112,CJ110)&gt;=MAX($D$4:$D$8),CJ110+3,CJ110)&gt;55,"",IF(COUNTIF($CJ$4:CJ112,CJ110)&gt;=MAX($D$4:$D$8),CJ110+3,CJ110))</f>
        <v>#VALUE!</v>
      </c>
      <c r="CK113" s="1" t="e">
        <f t="shared" si="93"/>
        <v>#VALUE!</v>
      </c>
      <c r="CL113" s="8" t="str">
        <f t="shared" si="108"/>
        <v/>
      </c>
      <c r="CN113" s="71" t="e">
        <f t="shared" si="99"/>
        <v>#VALUE!</v>
      </c>
      <c r="CO113" s="71" t="str">
        <f>IF(OR(COUNTBLANK(CR113)=1,ISERROR(CR113)),"",COUNT($CR$4:CR113))</f>
        <v/>
      </c>
      <c r="CP113" s="7" t="e">
        <f t="shared" si="100"/>
        <v>#VALUE!</v>
      </c>
      <c r="CQ113" s="1" t="str">
        <f t="shared" si="101"/>
        <v/>
      </c>
      <c r="CR113" s="79" t="e">
        <f>IF(IF(COUNTIF($CR$4:CR112,CR109)&gt;=MAX($D$4:$D$8),CR109+4,CR109)&gt;55,"",IF(COUNTIF($CR$4:CR112,CR109)&gt;=MAX($D$4:$D$8),CR109+4,CR109))</f>
        <v>#VALUE!</v>
      </c>
      <c r="CS113" s="1" t="e">
        <f t="shared" si="94"/>
        <v>#VALUE!</v>
      </c>
      <c r="CT113" s="8" t="str">
        <f t="shared" si="102"/>
        <v/>
      </c>
      <c r="CV113" s="71" t="e">
        <f t="shared" si="109"/>
        <v>#VALUE!</v>
      </c>
      <c r="CW113" s="71" t="str">
        <f>IF(OR(COUNTBLANK(CZ113)=1,ISERROR(CZ113)),"",COUNT($CZ$4:CZ113))</f>
        <v/>
      </c>
      <c r="CX113" s="7" t="e">
        <f t="shared" si="110"/>
        <v>#VALUE!</v>
      </c>
      <c r="CY113" s="1" t="str">
        <f t="shared" si="111"/>
        <v/>
      </c>
      <c r="CZ113" s="79" t="e">
        <f>IF(IF(COUNTIF($CZ$4:CZ112,CZ108)&gt;=MAX($D$4:$D$8),CZ108+5,CZ108)&gt;55,"",IF(COUNTIF($CZ$4:CZ112,CZ108)&gt;=MAX($D$4:$D$8),CZ108+5,CZ108))</f>
        <v>#VALUE!</v>
      </c>
      <c r="DA113" s="1" t="e">
        <f t="shared" si="95"/>
        <v>#VALUE!</v>
      </c>
      <c r="DB113" s="8" t="str">
        <f t="shared" si="112"/>
        <v/>
      </c>
    </row>
    <row r="114" spans="5:106" x14ac:dyDescent="0.15">
      <c r="E114" s="1">
        <v>111</v>
      </c>
      <c r="F114" s="1">
        <f t="shared" si="96"/>
        <v>1</v>
      </c>
      <c r="G114" s="1">
        <f t="shared" si="103"/>
        <v>1</v>
      </c>
      <c r="H114" s="1">
        <f t="shared" si="97"/>
        <v>1</v>
      </c>
      <c r="I114" s="1">
        <f t="shared" si="98"/>
        <v>1</v>
      </c>
      <c r="J114" s="1">
        <f t="shared" si="104"/>
        <v>1</v>
      </c>
      <c r="L114" s="1" t="str">
        <f>IF(ISERROR(HLOOKUP($C$10,$F$3:$J$253,112,0)),"",HLOOKUP($C$10,$F$3:$J$253,112,0))</f>
        <v/>
      </c>
      <c r="N114" s="67"/>
      <c r="W114" s="71" t="e">
        <f>IF(AA114="","",AA114*10+1)</f>
        <v>#VALUE!</v>
      </c>
      <c r="X114" s="71" t="str">
        <f>IF(OR(COUNTBLANK(AA114)=1,ISERROR(AA114)),"",COUNT(AA4:AA114))</f>
        <v/>
      </c>
      <c r="Y114" s="7" t="e">
        <f t="shared" si="69"/>
        <v>#VALUE!</v>
      </c>
      <c r="Z114" s="1" t="str">
        <f t="shared" si="83"/>
        <v/>
      </c>
      <c r="AA114" s="79" t="e">
        <f>IF(IF(COUNTIF(AA4:AA113,AA113)&gt;=MAX(D4:D8),AA113+1,AA113)&gt;50,"",IF(COUNTIF(AA4:AA113,AA113)&gt;=MAX(D4:D8),AA113+1,AA113))</f>
        <v>#VALUE!</v>
      </c>
      <c r="AB114" s="1" t="e">
        <f>IF(AA114="","",VLOOKUP(AA114,S4:U53,3,0))</f>
        <v>#VALUE!</v>
      </c>
      <c r="AC114" s="8" t="str">
        <f t="shared" si="70"/>
        <v/>
      </c>
      <c r="AE114" s="71" t="e">
        <f t="shared" si="71"/>
        <v>#VALUE!</v>
      </c>
      <c r="AF114" s="71" t="str">
        <f>IF(OR(COUNTBLANK(AI114)=1,ISERROR(AI114)),"",COUNT(AI4:AI114))</f>
        <v/>
      </c>
      <c r="AG114" s="7" t="e">
        <f t="shared" si="72"/>
        <v>#VALUE!</v>
      </c>
      <c r="AH114" s="1" t="str">
        <f>IF(ISERROR(INDEX(C4:C8,MATCH(G114,D4:D8,0))),"",INDEX(C4:C8,MATCH(G114,D4:D8,0)))</f>
        <v/>
      </c>
      <c r="AI114" s="79" t="e">
        <f>IF(IF(COUNTIF(AI4:AI113,AI112)&gt;=MAX(D4:D8),AI112+2,AI112)&gt;50,"",IF(COUNTIF(AI4:AI113,AI112)&gt;=MAX(D4:D8),AI112+2,AI112))</f>
        <v>#VALUE!</v>
      </c>
      <c r="AJ114" s="1" t="e">
        <f>IF(AI114="","",VLOOKUP(AI114,S4:U53,3,0))</f>
        <v>#VALUE!</v>
      </c>
      <c r="AK114" s="8" t="str">
        <f t="shared" si="73"/>
        <v/>
      </c>
      <c r="AM114" s="71" t="e">
        <f t="shared" si="74"/>
        <v>#VALUE!</v>
      </c>
      <c r="AN114" s="71" t="str">
        <f>IF(OR(COUNTBLANK(AQ114)=1,ISERROR(AQ114)),"",COUNT(AQ4:AQ114))</f>
        <v/>
      </c>
      <c r="AO114" s="7" t="e">
        <f t="shared" si="75"/>
        <v>#VALUE!</v>
      </c>
      <c r="AP114" s="1" t="str">
        <f>IF(ISERROR(INDEX(C4:C8,MATCH(H114,D4:D8,0))),"",INDEX(C4:C8,MATCH(H114,D4:D8,0)))</f>
        <v/>
      </c>
      <c r="AQ114" s="79" t="e">
        <f>IF(IF(COUNTIF(AQ4:AQ113,AQ111)&gt;=MAX(D4:D8),AQ111+3,AQ111)&gt;50,"",IF(COUNTIF(AQ4:AQ113,AQ111)&gt;=MAX(D4:D8),AQ111+3,AQ111))</f>
        <v>#VALUE!</v>
      </c>
      <c r="AR114" s="1" t="e">
        <f>IF(AQ114="","",VLOOKUP(AQ114,S4:U53,3,0))</f>
        <v>#VALUE!</v>
      </c>
      <c r="AS114" s="8" t="str">
        <f t="shared" si="76"/>
        <v/>
      </c>
      <c r="AU114" s="71" t="e">
        <f t="shared" si="77"/>
        <v>#VALUE!</v>
      </c>
      <c r="AV114" s="71" t="str">
        <f>IF(OR(COUNTBLANK(AY114)=1,ISERROR(AY114)),"",COUNT(AY4:AY114))</f>
        <v/>
      </c>
      <c r="AW114" s="7" t="e">
        <f t="shared" si="78"/>
        <v>#VALUE!</v>
      </c>
      <c r="AX114" s="1" t="str">
        <f>IF(ISERROR(INDEX(C4:C8,MATCH(I114,D4:D8,0))),"",INDEX(C4:C8,MATCH(I114,D4:D8,0)))</f>
        <v/>
      </c>
      <c r="AY114" s="79" t="e">
        <f>IF(IF(COUNTIF(AY4:AY113,AY110)&gt;=MAX(D4:D8),AY110+4,AY110)&gt;50,"",IF(COUNTIF(AY4:AY113,AY110)&gt;=MAX(D4:D8),AY110+4,AY110))</f>
        <v>#VALUE!</v>
      </c>
      <c r="AZ114" s="76" t="e">
        <f>IF(AY114="","",VLOOKUP(AY114,S4:U53,3,0))</f>
        <v>#VALUE!</v>
      </c>
      <c r="BA114" s="8" t="str">
        <f t="shared" si="79"/>
        <v/>
      </c>
      <c r="BC114" s="71" t="e">
        <f t="shared" si="80"/>
        <v>#VALUE!</v>
      </c>
      <c r="BD114" s="71" t="str">
        <f>IF(OR(COUNTBLANK(BG114)=1,ISERROR(BG114)),"",COUNT(BG4:BG114))</f>
        <v/>
      </c>
      <c r="BE114" s="7" t="e">
        <f t="shared" si="81"/>
        <v>#VALUE!</v>
      </c>
      <c r="BF114" s="1" t="str">
        <f>IF(ISERROR(INDEX(C4:C8,MATCH(J114,D4:D8,0))),"",INDEX(C4:C8,MATCH(J114,D4:D8,0)))</f>
        <v/>
      </c>
      <c r="BG114" s="79" t="e">
        <f>IF(IF(COUNTIF(BG4:BG113,BG109)&gt;=MAX(D4:D8),BG109+5,BG109)&gt;50,"",IF(COUNTIF(BG4:BG113,BG109)&gt;=MAX(D4:D8),BG109+5,BG109))</f>
        <v>#VALUE!</v>
      </c>
      <c r="BH114" s="76" t="e">
        <f>IF(BG114="","",VLOOKUP(BG114,S4:U53,3,0))</f>
        <v>#VALUE!</v>
      </c>
      <c r="BI114" s="8" t="str">
        <f t="shared" si="82"/>
        <v/>
      </c>
      <c r="BP114" s="71" t="e">
        <f>IF(BT114="","",BT114*10+1)</f>
        <v>#VALUE!</v>
      </c>
      <c r="BQ114" s="71" t="str">
        <f>IF(OR(COUNTBLANK(BT114)=1,ISERROR(BT114)),"",COUNT(BT4:BT114))</f>
        <v/>
      </c>
      <c r="BR114" s="7" t="e">
        <f t="shared" si="84"/>
        <v>#VALUE!</v>
      </c>
      <c r="BS114" s="1" t="str">
        <f t="shared" si="85"/>
        <v/>
      </c>
      <c r="BT114" s="79" t="e">
        <f>IF(IF(COUNTIF($BT$4:BT113,BT113)&gt;=MAX($D$4:$D$8),BT113+1,BT113)&gt;55,"",IF(COUNTIF($BT$4:BT113,BT113)&gt;=MAX($D$4:$D$8),BT113+1,BT113))</f>
        <v>#VALUE!</v>
      </c>
      <c r="BU114" s="1" t="e">
        <f t="shared" si="86"/>
        <v>#VALUE!</v>
      </c>
      <c r="BV114" s="8" t="str">
        <f t="shared" si="87"/>
        <v/>
      </c>
      <c r="BX114" s="71" t="e">
        <f t="shared" si="88"/>
        <v>#VALUE!</v>
      </c>
      <c r="BY114" s="71" t="str">
        <f>IF(OR(COUNTBLANK(CB114)=1,ISERROR(CB114)),"",COUNT($CB$4:CB114))</f>
        <v/>
      </c>
      <c r="BZ114" s="7" t="e">
        <f t="shared" si="89"/>
        <v>#VALUE!</v>
      </c>
      <c r="CA114" s="1" t="str">
        <f t="shared" si="90"/>
        <v/>
      </c>
      <c r="CB114" s="79" t="e">
        <f>IF(IF(COUNTIF($CB$4:CB113,CB112)&gt;=MAX($D$4:$D$8),CB112+2,CB112)&gt;55,"",IF(COUNTIF($CB$4:CB113,CB112)&gt;=MAX($D$4:$D$8),CB112+2,CB112))</f>
        <v>#VALUE!</v>
      </c>
      <c r="CC114" s="1" t="e">
        <f t="shared" si="91"/>
        <v>#VALUE!</v>
      </c>
      <c r="CD114" s="8" t="str">
        <f t="shared" si="92"/>
        <v/>
      </c>
      <c r="CF114" s="71" t="e">
        <f t="shared" si="105"/>
        <v>#VALUE!</v>
      </c>
      <c r="CG114" s="71" t="str">
        <f>IF(OR(COUNTBLANK(CJ114)=1,ISERROR(CJ114)),"",COUNT($CJ$4:CJ114))</f>
        <v/>
      </c>
      <c r="CH114" s="7" t="e">
        <f t="shared" si="106"/>
        <v>#VALUE!</v>
      </c>
      <c r="CI114" s="1" t="str">
        <f t="shared" si="107"/>
        <v/>
      </c>
      <c r="CJ114" s="79" t="e">
        <f>IF(IF(COUNTIF($CJ$4:CJ113,CJ111)&gt;=MAX($D$4:$D$8),CJ111+3,CJ111)&gt;55,"",IF(COUNTIF($CJ$4:CJ113,CJ111)&gt;=MAX($D$4:$D$8),CJ111+3,CJ111))</f>
        <v>#VALUE!</v>
      </c>
      <c r="CK114" s="1" t="e">
        <f t="shared" si="93"/>
        <v>#VALUE!</v>
      </c>
      <c r="CL114" s="8" t="str">
        <f t="shared" si="108"/>
        <v/>
      </c>
      <c r="CN114" s="71" t="e">
        <f t="shared" si="99"/>
        <v>#VALUE!</v>
      </c>
      <c r="CO114" s="71" t="str">
        <f>IF(OR(COUNTBLANK(CR114)=1,ISERROR(CR114)),"",COUNT($CR$4:CR114))</f>
        <v/>
      </c>
      <c r="CP114" s="7" t="e">
        <f t="shared" si="100"/>
        <v>#VALUE!</v>
      </c>
      <c r="CQ114" s="1" t="str">
        <f t="shared" si="101"/>
        <v/>
      </c>
      <c r="CR114" s="79" t="e">
        <f>IF(IF(COUNTIF($CR$4:CR113,CR110)&gt;=MAX($D$4:$D$8),CR110+4,CR110)&gt;55,"",IF(COUNTIF($CR$4:CR113,CR110)&gt;=MAX($D$4:$D$8),CR110+4,CR110))</f>
        <v>#VALUE!</v>
      </c>
      <c r="CS114" s="1" t="e">
        <f t="shared" si="94"/>
        <v>#VALUE!</v>
      </c>
      <c r="CT114" s="8" t="str">
        <f t="shared" si="102"/>
        <v/>
      </c>
      <c r="CV114" s="71" t="e">
        <f t="shared" si="109"/>
        <v>#VALUE!</v>
      </c>
      <c r="CW114" s="71" t="str">
        <f>IF(OR(COUNTBLANK(CZ114)=1,ISERROR(CZ114)),"",COUNT($CZ$4:CZ114))</f>
        <v/>
      </c>
      <c r="CX114" s="7" t="e">
        <f t="shared" si="110"/>
        <v>#VALUE!</v>
      </c>
      <c r="CY114" s="1" t="str">
        <f t="shared" si="111"/>
        <v/>
      </c>
      <c r="CZ114" s="79" t="e">
        <f>IF(IF(COUNTIF($CZ$4:CZ113,CZ109)&gt;=MAX($D$4:$D$8),CZ109+5,CZ109)&gt;55,"",IF(COUNTIF($CZ$4:CZ113,CZ109)&gt;=MAX($D$4:$D$8),CZ109+5,CZ109))</f>
        <v>#VALUE!</v>
      </c>
      <c r="DA114" s="1" t="e">
        <f t="shared" si="95"/>
        <v>#VALUE!</v>
      </c>
      <c r="DB114" s="8" t="str">
        <f t="shared" si="112"/>
        <v/>
      </c>
    </row>
    <row r="115" spans="5:106" x14ac:dyDescent="0.15">
      <c r="E115" s="1">
        <v>112</v>
      </c>
      <c r="F115" s="1">
        <f t="shared" si="96"/>
        <v>1</v>
      </c>
      <c r="G115" s="1">
        <f t="shared" si="103"/>
        <v>1</v>
      </c>
      <c r="H115" s="1">
        <f t="shared" si="97"/>
        <v>1</v>
      </c>
      <c r="I115" s="1">
        <f t="shared" si="98"/>
        <v>1</v>
      </c>
      <c r="J115" s="1">
        <f t="shared" si="104"/>
        <v>1</v>
      </c>
      <c r="L115" s="1" t="str">
        <f>IF(ISERROR(HLOOKUP($C$10,$F$3:$J$253,113,0)),"",HLOOKUP($C$10,$F$3:$J$253,113,0))</f>
        <v/>
      </c>
      <c r="N115" s="67"/>
      <c r="W115" s="71" t="e">
        <f>IF(AA115="","",AA115*10+2)</f>
        <v>#VALUE!</v>
      </c>
      <c r="X115" s="71" t="str">
        <f>IF(OR(COUNTBLANK(AA115)=1,ISERROR(AA115)),"",COUNT(AA4:AA115))</f>
        <v/>
      </c>
      <c r="Y115" s="7" t="e">
        <f t="shared" si="69"/>
        <v>#VALUE!</v>
      </c>
      <c r="Z115" s="1" t="str">
        <f t="shared" si="83"/>
        <v/>
      </c>
      <c r="AA115" s="79" t="e">
        <f>IF(IF(COUNTIF(AA4:AA114,AA114)&gt;=MAX(D4:D8),AA114+1,AA114)&gt;50,"",IF(COUNTIF(AA4:AA114,AA114)&gt;=MAX(D4:D8),AA114+1,AA114))</f>
        <v>#VALUE!</v>
      </c>
      <c r="AB115" s="1" t="e">
        <f>IF(AA115="","",VLOOKUP(AA115,S4:U53,3,0))</f>
        <v>#VALUE!</v>
      </c>
      <c r="AC115" s="8" t="str">
        <f t="shared" si="70"/>
        <v/>
      </c>
      <c r="AE115" s="71" t="e">
        <f t="shared" si="71"/>
        <v>#VALUE!</v>
      </c>
      <c r="AF115" s="71" t="str">
        <f>IF(OR(COUNTBLANK(AI115)=1,ISERROR(AI115)),"",COUNT(AI4:AI115))</f>
        <v/>
      </c>
      <c r="AG115" s="7" t="e">
        <f t="shared" si="72"/>
        <v>#VALUE!</v>
      </c>
      <c r="AH115" s="1" t="str">
        <f>IF(ISERROR(INDEX(C4:C8,MATCH(G115,D4:D8,0))),"",INDEX(C4:C8,MATCH(G115,D4:D8,0)))</f>
        <v/>
      </c>
      <c r="AI115" s="79" t="e">
        <f>IF(IF(COUNTIF(AI4:AI113,AI113)&gt;=MAX(D4:D8),AI113+2,AI113)&gt;50,"",IF(COUNTIF(AI4:AI113,AI113)&gt;=MAX(D4:D8),AI113+2,AI113))</f>
        <v>#VALUE!</v>
      </c>
      <c r="AJ115" s="1" t="e">
        <f>IF(AI115="","",VLOOKUP(AI115,S4:U53,3,0))</f>
        <v>#VALUE!</v>
      </c>
      <c r="AK115" s="8" t="str">
        <f t="shared" si="73"/>
        <v/>
      </c>
      <c r="AM115" s="71" t="e">
        <f t="shared" si="74"/>
        <v>#VALUE!</v>
      </c>
      <c r="AN115" s="71" t="str">
        <f>IF(OR(COUNTBLANK(AQ115)=1,ISERROR(AQ115)),"",COUNT(AQ4:AQ115))</f>
        <v/>
      </c>
      <c r="AO115" s="7" t="e">
        <f t="shared" si="75"/>
        <v>#VALUE!</v>
      </c>
      <c r="AP115" s="1" t="str">
        <f>IF(ISERROR(INDEX(C4:C8,MATCH(H115,D4:D8,0))),"",INDEX(C4:C8,MATCH(H115,D4:D8,0)))</f>
        <v/>
      </c>
      <c r="AQ115" s="79" t="e">
        <f>IF(IF(COUNTIF(AQ4:AQ114,AQ112)&gt;=MAX(D4:D8),AQ112+3,AQ112)&gt;50,"",IF(COUNTIF(AQ4:AQ114,AQ112)&gt;=MAX(D4:D8),AQ112+3,AQ112))</f>
        <v>#VALUE!</v>
      </c>
      <c r="AR115" s="1" t="e">
        <f>IF(AQ115="","",VLOOKUP(AQ115,S4:U53,3,0))</f>
        <v>#VALUE!</v>
      </c>
      <c r="AS115" s="8" t="str">
        <f t="shared" si="76"/>
        <v/>
      </c>
      <c r="AU115" s="71" t="e">
        <f t="shared" si="77"/>
        <v>#VALUE!</v>
      </c>
      <c r="AV115" s="71" t="str">
        <f>IF(OR(COUNTBLANK(AY115)=1,ISERROR(AY115)),"",COUNT(AY4:AY115))</f>
        <v/>
      </c>
      <c r="AW115" s="7" t="e">
        <f t="shared" si="78"/>
        <v>#VALUE!</v>
      </c>
      <c r="AX115" s="1" t="str">
        <f>IF(ISERROR(INDEX(C4:C8,MATCH(I115,D4:D8,0))),"",INDEX(C4:C8,MATCH(I115,D4:D8,0)))</f>
        <v/>
      </c>
      <c r="AY115" s="79" t="e">
        <f>IF(IF(COUNTIF(AY4:AY114,AY111)&gt;=MAX(D4:D8),AY111+4,AY111)&gt;50,"",IF(COUNTIF(AY4:AY114,AY111)&gt;=MAX(D4:D8),AY111+4,AY111))</f>
        <v>#VALUE!</v>
      </c>
      <c r="AZ115" s="76" t="e">
        <f>IF(AY115="","",VLOOKUP(AY115,S4:U53,3,0))</f>
        <v>#VALUE!</v>
      </c>
      <c r="BA115" s="8" t="str">
        <f t="shared" si="79"/>
        <v/>
      </c>
      <c r="BC115" s="71" t="e">
        <f t="shared" si="80"/>
        <v>#VALUE!</v>
      </c>
      <c r="BD115" s="71" t="str">
        <f>IF(OR(COUNTBLANK(BG115)=1,ISERROR(BG115)),"",COUNT(BG4:BG115))</f>
        <v/>
      </c>
      <c r="BE115" s="7" t="e">
        <f t="shared" si="81"/>
        <v>#VALUE!</v>
      </c>
      <c r="BF115" s="1" t="str">
        <f>IF(ISERROR(INDEX(C4:C8,MATCH(J115,D4:D8,0))),"",INDEX(C4:C8,MATCH(J115,D4:D8,0)))</f>
        <v/>
      </c>
      <c r="BG115" s="79" t="e">
        <f>IF(IF(COUNTIF(BG4:BG114,BG110)&gt;=MAX(D4:D8),BG110+5,BG110)&gt;50,"",IF(COUNTIF(BG4:BG114,BG110)&gt;=MAX(D4:D8),BG110+5,BG110))</f>
        <v>#VALUE!</v>
      </c>
      <c r="BH115" s="76" t="e">
        <f>IF(BG115="","",VLOOKUP(BG115,S4:U53,3,0))</f>
        <v>#VALUE!</v>
      </c>
      <c r="BI115" s="8" t="str">
        <f t="shared" si="82"/>
        <v/>
      </c>
      <c r="BP115" s="71" t="e">
        <f>IF(BT115="","",BT115*10+2)</f>
        <v>#VALUE!</v>
      </c>
      <c r="BQ115" s="71" t="str">
        <f>IF(OR(COUNTBLANK(BT115)=1,ISERROR(BT115)),"",COUNT(BT4:BT115))</f>
        <v/>
      </c>
      <c r="BR115" s="7" t="e">
        <f t="shared" si="84"/>
        <v>#VALUE!</v>
      </c>
      <c r="BS115" s="1" t="str">
        <f t="shared" si="85"/>
        <v/>
      </c>
      <c r="BT115" s="79" t="e">
        <f>IF(IF(COUNTIF($BT$4:BT114,BT114)&gt;=MAX($D$4:$D$8),BT114+1,BT114)&gt;55,"",IF(COUNTIF($BT$4:BT114,BT114)&gt;=MAX($D$4:$D$8),BT114+1,BT114))</f>
        <v>#VALUE!</v>
      </c>
      <c r="BU115" s="1" t="e">
        <f t="shared" si="86"/>
        <v>#VALUE!</v>
      </c>
      <c r="BV115" s="8" t="str">
        <f t="shared" si="87"/>
        <v/>
      </c>
      <c r="BX115" s="71" t="e">
        <f t="shared" si="88"/>
        <v>#VALUE!</v>
      </c>
      <c r="BY115" s="71" t="str">
        <f>IF(OR(COUNTBLANK(CB115)=1,ISERROR(CB115)),"",COUNT($CB$4:CB115))</f>
        <v/>
      </c>
      <c r="BZ115" s="7" t="e">
        <f t="shared" si="89"/>
        <v>#VALUE!</v>
      </c>
      <c r="CA115" s="1" t="str">
        <f t="shared" si="90"/>
        <v/>
      </c>
      <c r="CB115" s="79" t="e">
        <f>IF(IF(COUNTIF($CB$4:CB114,CB113)&gt;=MAX($D$4:$D$8),CB113+2,CB113)&gt;55,"",IF(COUNTIF($CB$4:CB114,CB113)&gt;=MAX($D$4:$D$8),CB113+2,CB113))</f>
        <v>#VALUE!</v>
      </c>
      <c r="CC115" s="1" t="e">
        <f t="shared" si="91"/>
        <v>#VALUE!</v>
      </c>
      <c r="CD115" s="8" t="str">
        <f t="shared" si="92"/>
        <v/>
      </c>
      <c r="CF115" s="71" t="e">
        <f t="shared" si="105"/>
        <v>#VALUE!</v>
      </c>
      <c r="CG115" s="71" t="str">
        <f>IF(OR(COUNTBLANK(CJ115)=1,ISERROR(CJ115)),"",COUNT($CJ$4:CJ115))</f>
        <v/>
      </c>
      <c r="CH115" s="7" t="e">
        <f t="shared" si="106"/>
        <v>#VALUE!</v>
      </c>
      <c r="CI115" s="1" t="str">
        <f t="shared" si="107"/>
        <v/>
      </c>
      <c r="CJ115" s="79" t="e">
        <f>IF(IF(COUNTIF($CJ$4:CJ114,CJ112)&gt;=MAX($D$4:$D$8),CJ112+3,CJ112)&gt;55,"",IF(COUNTIF($CJ$4:CJ114,CJ112)&gt;=MAX($D$4:$D$8),CJ112+3,CJ112))</f>
        <v>#VALUE!</v>
      </c>
      <c r="CK115" s="1" t="e">
        <f t="shared" si="93"/>
        <v>#VALUE!</v>
      </c>
      <c r="CL115" s="8" t="str">
        <f t="shared" si="108"/>
        <v/>
      </c>
      <c r="CN115" s="71" t="e">
        <f t="shared" si="99"/>
        <v>#VALUE!</v>
      </c>
      <c r="CO115" s="71" t="str">
        <f>IF(OR(COUNTBLANK(CR115)=1,ISERROR(CR115)),"",COUNT($CR$4:CR115))</f>
        <v/>
      </c>
      <c r="CP115" s="7" t="e">
        <f t="shared" si="100"/>
        <v>#VALUE!</v>
      </c>
      <c r="CQ115" s="1" t="str">
        <f t="shared" si="101"/>
        <v/>
      </c>
      <c r="CR115" s="79" t="e">
        <f>IF(IF(COUNTIF($CR$4:CR114,CR111)&gt;=MAX($D$4:$D$8),CR111+4,CR111)&gt;55,"",IF(COUNTIF($CR$4:CR114,CR111)&gt;=MAX($D$4:$D$8),CR111+4,CR111))</f>
        <v>#VALUE!</v>
      </c>
      <c r="CS115" s="1" t="e">
        <f t="shared" si="94"/>
        <v>#VALUE!</v>
      </c>
      <c r="CT115" s="8" t="str">
        <f t="shared" si="102"/>
        <v/>
      </c>
      <c r="CV115" s="71" t="e">
        <f t="shared" si="109"/>
        <v>#VALUE!</v>
      </c>
      <c r="CW115" s="71" t="str">
        <f>IF(OR(COUNTBLANK(CZ115)=1,ISERROR(CZ115)),"",COUNT($CZ$4:CZ115))</f>
        <v/>
      </c>
      <c r="CX115" s="7" t="e">
        <f t="shared" si="110"/>
        <v>#VALUE!</v>
      </c>
      <c r="CY115" s="1" t="str">
        <f t="shared" si="111"/>
        <v/>
      </c>
      <c r="CZ115" s="79" t="e">
        <f>IF(IF(COUNTIF($CZ$4:CZ114,CZ110)&gt;=MAX($D$4:$D$8),CZ110+5,CZ110)&gt;55,"",IF(COUNTIF($CZ$4:CZ114,CZ110)&gt;=MAX($D$4:$D$8),CZ110+5,CZ110))</f>
        <v>#VALUE!</v>
      </c>
      <c r="DA115" s="1" t="e">
        <f t="shared" si="95"/>
        <v>#VALUE!</v>
      </c>
      <c r="DB115" s="8" t="str">
        <f t="shared" si="112"/>
        <v/>
      </c>
    </row>
    <row r="116" spans="5:106" x14ac:dyDescent="0.15">
      <c r="E116" s="1">
        <v>113</v>
      </c>
      <c r="F116" s="1">
        <f t="shared" si="96"/>
        <v>1</v>
      </c>
      <c r="G116" s="1">
        <f t="shared" si="103"/>
        <v>1</v>
      </c>
      <c r="H116" s="1">
        <f t="shared" si="97"/>
        <v>1</v>
      </c>
      <c r="I116" s="1">
        <f t="shared" si="98"/>
        <v>1</v>
      </c>
      <c r="J116" s="1">
        <f t="shared" si="104"/>
        <v>1</v>
      </c>
      <c r="L116" s="1" t="str">
        <f>IF(ISERROR(HLOOKUP($C$10,$F$3:$J$253,114,0)),"",HLOOKUP($C$10,$F$3:$J$253,114,0))</f>
        <v/>
      </c>
      <c r="N116" s="67"/>
      <c r="W116" s="71" t="e">
        <f>IF(AA116="","",AA116*10+3)</f>
        <v>#VALUE!</v>
      </c>
      <c r="X116" s="71" t="str">
        <f>IF(OR(COUNTBLANK(AA116)=1,ISERROR(AA116)),"",COUNT(AA4:AA116))</f>
        <v/>
      </c>
      <c r="Y116" s="7" t="e">
        <f t="shared" si="69"/>
        <v>#VALUE!</v>
      </c>
      <c r="Z116" s="1" t="str">
        <f t="shared" si="83"/>
        <v/>
      </c>
      <c r="AA116" s="79" t="e">
        <f>IF(IF(COUNTIF(AA4:AA115,AA115)&gt;=MAX(D4:D8),AA115+1,AA115)&gt;50,"",IF(COUNTIF(AA4:AA115,AA115)&gt;=MAX(D4:D8),AA115+1,AA115))</f>
        <v>#VALUE!</v>
      </c>
      <c r="AB116" s="1" t="e">
        <f>IF(AA116="","",VLOOKUP(AA116,S4:U53,3,0))</f>
        <v>#VALUE!</v>
      </c>
      <c r="AC116" s="8" t="str">
        <f t="shared" si="70"/>
        <v/>
      </c>
      <c r="AE116" s="71" t="e">
        <f t="shared" si="71"/>
        <v>#VALUE!</v>
      </c>
      <c r="AF116" s="71" t="str">
        <f>IF(OR(COUNTBLANK(AI116)=1,ISERROR(AI116)),"",COUNT(AI4:AI116))</f>
        <v/>
      </c>
      <c r="AG116" s="7" t="e">
        <f t="shared" si="72"/>
        <v>#VALUE!</v>
      </c>
      <c r="AH116" s="1" t="str">
        <f>IF(ISERROR(INDEX(C4:C8,MATCH(G116,D4:D8,0))),"",INDEX(C4:C8,MATCH(G116,D4:D8,0)))</f>
        <v/>
      </c>
      <c r="AI116" s="79" t="e">
        <f>IF(IF(COUNTIF(AI4:AI115,AI114)&gt;=MAX(D4:D8),AI114+2,AI114)&gt;50,"",IF(COUNTIF(AI4:AI115,AI114)&gt;=MAX(D4:D8),AI114+2,AI114))</f>
        <v>#VALUE!</v>
      </c>
      <c r="AJ116" s="1" t="e">
        <f>IF(AI116="","",VLOOKUP(AI116,S4:U53,3,0))</f>
        <v>#VALUE!</v>
      </c>
      <c r="AK116" s="8" t="str">
        <f t="shared" si="73"/>
        <v/>
      </c>
      <c r="AM116" s="71" t="e">
        <f t="shared" si="74"/>
        <v>#VALUE!</v>
      </c>
      <c r="AN116" s="71" t="str">
        <f>IF(OR(COUNTBLANK(AQ116)=1,ISERROR(AQ116)),"",COUNT(AQ4:AQ116))</f>
        <v/>
      </c>
      <c r="AO116" s="7" t="e">
        <f t="shared" si="75"/>
        <v>#VALUE!</v>
      </c>
      <c r="AP116" s="1" t="str">
        <f>IF(ISERROR(INDEX(C4:C8,MATCH(H116,D4:D8,0))),"",INDEX(C4:C8,MATCH(H116,D4:D8,0)))</f>
        <v/>
      </c>
      <c r="AQ116" s="79" t="e">
        <f>IF(IF(COUNTIF(AQ4:AQ115,AQ113)&gt;=MAX(D4:D8),AQ113+3,AQ113)&gt;50,"",IF(COUNTIF(AQ4:AQ115,AQ113)&gt;=MAX(D4:D8),AQ113+3,AQ113))</f>
        <v>#VALUE!</v>
      </c>
      <c r="AR116" s="1" t="e">
        <f>IF(AQ116="","",VLOOKUP(AQ116,S4:U53,3,0))</f>
        <v>#VALUE!</v>
      </c>
      <c r="AS116" s="8" t="str">
        <f t="shared" si="76"/>
        <v/>
      </c>
      <c r="AU116" s="71" t="e">
        <f t="shared" si="77"/>
        <v>#VALUE!</v>
      </c>
      <c r="AV116" s="71" t="str">
        <f>IF(OR(COUNTBLANK(AY116)=1,ISERROR(AY116)),"",COUNT(AY4:AY116))</f>
        <v/>
      </c>
      <c r="AW116" s="7" t="e">
        <f t="shared" si="78"/>
        <v>#VALUE!</v>
      </c>
      <c r="AX116" s="1" t="str">
        <f>IF(ISERROR(INDEX(C4:C8,MATCH(I116,D4:D8,0))),"",INDEX(C4:C8,MATCH(I116,D4:D8,0)))</f>
        <v/>
      </c>
      <c r="AY116" s="79" t="e">
        <f>IF(IF(COUNTIF(AY4:AY115,AY112)&gt;=MAX(D4:D8),AY112+4,AY112)&gt;50,"",IF(COUNTIF(AY4:AY115,AY112)&gt;=MAX(D4:D8),AY112+4,AY112))</f>
        <v>#VALUE!</v>
      </c>
      <c r="AZ116" s="76" t="e">
        <f>IF(AY116="","",VLOOKUP(AY116,S4:U53,3,0))</f>
        <v>#VALUE!</v>
      </c>
      <c r="BA116" s="8" t="str">
        <f t="shared" si="79"/>
        <v/>
      </c>
      <c r="BC116" s="71" t="e">
        <f t="shared" si="80"/>
        <v>#VALUE!</v>
      </c>
      <c r="BD116" s="71" t="str">
        <f>IF(OR(COUNTBLANK(BG116)=1,ISERROR(BG116)),"",COUNT(BG4:BG116))</f>
        <v/>
      </c>
      <c r="BE116" s="7" t="e">
        <f t="shared" si="81"/>
        <v>#VALUE!</v>
      </c>
      <c r="BF116" s="1" t="str">
        <f>IF(ISERROR(INDEX(C4:C8,MATCH(J116,D4:D8,0))),"",INDEX(C4:C8,MATCH(J116,D4:D8,0)))</f>
        <v/>
      </c>
      <c r="BG116" s="79" t="e">
        <f>IF(IF(COUNTIF(BG4:BG115,BG111)&gt;=MAX(D4:D8),BG111+5,BG111)&gt;50,"",IF(COUNTIF(BG4:BG115,BG111)&gt;=MAX(D4:D8),BG111+5,BG111))</f>
        <v>#VALUE!</v>
      </c>
      <c r="BH116" s="76" t="e">
        <f>IF(BG116="","",VLOOKUP(BG116,S4:U53,3,0))</f>
        <v>#VALUE!</v>
      </c>
      <c r="BI116" s="8" t="str">
        <f t="shared" si="82"/>
        <v/>
      </c>
      <c r="BP116" s="71" t="e">
        <f>IF(BT116="","",BT116*10+3)</f>
        <v>#VALUE!</v>
      </c>
      <c r="BQ116" s="71" t="str">
        <f>IF(OR(COUNTBLANK(BT116)=1,ISERROR(BT116)),"",COUNT(BT4:BT116))</f>
        <v/>
      </c>
      <c r="BR116" s="7" t="e">
        <f t="shared" si="84"/>
        <v>#VALUE!</v>
      </c>
      <c r="BS116" s="1" t="str">
        <f t="shared" si="85"/>
        <v/>
      </c>
      <c r="BT116" s="79" t="e">
        <f>IF(IF(COUNTIF($BT$4:BT115,BT115)&gt;=MAX($D$4:$D$8),BT115+1,BT115)&gt;55,"",IF(COUNTIF($BT$4:BT115,BT115)&gt;=MAX($D$4:$D$8),BT115+1,BT115))</f>
        <v>#VALUE!</v>
      </c>
      <c r="BU116" s="1" t="e">
        <f t="shared" si="86"/>
        <v>#VALUE!</v>
      </c>
      <c r="BV116" s="8" t="str">
        <f t="shared" si="87"/>
        <v/>
      </c>
      <c r="BX116" s="71" t="e">
        <f t="shared" si="88"/>
        <v>#VALUE!</v>
      </c>
      <c r="BY116" s="71" t="str">
        <f>IF(OR(COUNTBLANK(CB116)=1,ISERROR(CB116)),"",COUNT($CB$4:CB116))</f>
        <v/>
      </c>
      <c r="BZ116" s="7" t="e">
        <f t="shared" si="89"/>
        <v>#VALUE!</v>
      </c>
      <c r="CA116" s="1" t="str">
        <f t="shared" si="90"/>
        <v/>
      </c>
      <c r="CB116" s="79" t="e">
        <f>IF(IF(COUNTIF($CB$4:CB115,CB114)&gt;=MAX($D$4:$D$8),CB114+2,CB114)&gt;55,"",IF(COUNTIF($CB$4:CB115,CB114)&gt;=MAX($D$4:$D$8),CB114+2,CB114))</f>
        <v>#VALUE!</v>
      </c>
      <c r="CC116" s="1" t="e">
        <f t="shared" si="91"/>
        <v>#VALUE!</v>
      </c>
      <c r="CD116" s="8" t="str">
        <f t="shared" si="92"/>
        <v/>
      </c>
      <c r="CF116" s="71" t="e">
        <f t="shared" si="105"/>
        <v>#VALUE!</v>
      </c>
      <c r="CG116" s="71" t="str">
        <f>IF(OR(COUNTBLANK(CJ116)=1,ISERROR(CJ116)),"",COUNT($CJ$4:CJ116))</f>
        <v/>
      </c>
      <c r="CH116" s="7" t="e">
        <f t="shared" si="106"/>
        <v>#VALUE!</v>
      </c>
      <c r="CI116" s="1" t="str">
        <f t="shared" si="107"/>
        <v/>
      </c>
      <c r="CJ116" s="79" t="e">
        <f>IF(IF(COUNTIF($CJ$4:CJ115,CJ113)&gt;=MAX($D$4:$D$8),CJ113+3,CJ113)&gt;55,"",IF(COUNTIF($CJ$4:CJ115,CJ113)&gt;=MAX($D$4:$D$8),CJ113+3,CJ113))</f>
        <v>#VALUE!</v>
      </c>
      <c r="CK116" s="1" t="e">
        <f t="shared" si="93"/>
        <v>#VALUE!</v>
      </c>
      <c r="CL116" s="8" t="str">
        <f t="shared" si="108"/>
        <v/>
      </c>
      <c r="CN116" s="71" t="e">
        <f t="shared" si="99"/>
        <v>#VALUE!</v>
      </c>
      <c r="CO116" s="71" t="str">
        <f>IF(OR(COUNTBLANK(CR116)=1,ISERROR(CR116)),"",COUNT($CR$4:CR116))</f>
        <v/>
      </c>
      <c r="CP116" s="7" t="e">
        <f t="shared" si="100"/>
        <v>#VALUE!</v>
      </c>
      <c r="CQ116" s="1" t="str">
        <f t="shared" si="101"/>
        <v/>
      </c>
      <c r="CR116" s="79" t="e">
        <f>IF(IF(COUNTIF($CR$4:CR115,CR112)&gt;=MAX($D$4:$D$8),CR112+4,CR112)&gt;55,"",IF(COUNTIF($CR$4:CR115,CR112)&gt;=MAX($D$4:$D$8),CR112+4,CR112))</f>
        <v>#VALUE!</v>
      </c>
      <c r="CS116" s="1" t="e">
        <f t="shared" si="94"/>
        <v>#VALUE!</v>
      </c>
      <c r="CT116" s="8" t="str">
        <f t="shared" si="102"/>
        <v/>
      </c>
      <c r="CV116" s="71" t="e">
        <f t="shared" si="109"/>
        <v>#VALUE!</v>
      </c>
      <c r="CW116" s="71" t="str">
        <f>IF(OR(COUNTBLANK(CZ116)=1,ISERROR(CZ116)),"",COUNT($CZ$4:CZ116))</f>
        <v/>
      </c>
      <c r="CX116" s="7" t="e">
        <f t="shared" si="110"/>
        <v>#VALUE!</v>
      </c>
      <c r="CY116" s="1" t="str">
        <f t="shared" si="111"/>
        <v/>
      </c>
      <c r="CZ116" s="79" t="e">
        <f>IF(IF(COUNTIF($CZ$4:CZ115,CZ111)&gt;=MAX($D$4:$D$8),CZ111+5,CZ111)&gt;55,"",IF(COUNTIF($CZ$4:CZ115,CZ111)&gt;=MAX($D$4:$D$8),CZ111+5,CZ111))</f>
        <v>#VALUE!</v>
      </c>
      <c r="DA116" s="1" t="e">
        <f t="shared" si="95"/>
        <v>#VALUE!</v>
      </c>
      <c r="DB116" s="8" t="str">
        <f t="shared" si="112"/>
        <v/>
      </c>
    </row>
    <row r="117" spans="5:106" x14ac:dyDescent="0.15">
      <c r="E117" s="1">
        <v>114</v>
      </c>
      <c r="F117" s="1">
        <f t="shared" si="96"/>
        <v>1</v>
      </c>
      <c r="G117" s="1">
        <f t="shared" si="103"/>
        <v>1</v>
      </c>
      <c r="H117" s="1">
        <f t="shared" si="97"/>
        <v>1</v>
      </c>
      <c r="I117" s="1">
        <f t="shared" si="98"/>
        <v>1</v>
      </c>
      <c r="J117" s="1">
        <f t="shared" si="104"/>
        <v>1</v>
      </c>
      <c r="L117" s="1" t="str">
        <f>IF(ISERROR(HLOOKUP($C$10,$F$3:$J$253,115,0)),"",HLOOKUP($C$10,$F$3:$J$253,115,0))</f>
        <v/>
      </c>
      <c r="N117" s="67"/>
      <c r="W117" s="71" t="e">
        <f>IF(AA117="","",AA117*10+4)</f>
        <v>#VALUE!</v>
      </c>
      <c r="X117" s="71" t="str">
        <f>IF(OR(COUNTBLANK(AA117)=1,ISERROR(AA117)),"",COUNT(AA4:AA117))</f>
        <v/>
      </c>
      <c r="Y117" s="7" t="e">
        <f t="shared" si="69"/>
        <v>#VALUE!</v>
      </c>
      <c r="Z117" s="1" t="str">
        <f t="shared" si="83"/>
        <v/>
      </c>
      <c r="AA117" s="79" t="e">
        <f>IF(IF(COUNTIF(AA4:AA116,AA116)&gt;=MAX(D4:D8),AA116+1,AA116)&gt;50,"",IF(COUNTIF(AA4:AA116,AA116)&gt;=MAX(D4:D8),AA116+1,AA116))</f>
        <v>#VALUE!</v>
      </c>
      <c r="AB117" s="1" t="e">
        <f>IF(AA117="","",VLOOKUP(AA117,S4:U53,3,0))</f>
        <v>#VALUE!</v>
      </c>
      <c r="AC117" s="8" t="str">
        <f t="shared" si="70"/>
        <v/>
      </c>
      <c r="AE117" s="71" t="e">
        <f t="shared" si="71"/>
        <v>#VALUE!</v>
      </c>
      <c r="AF117" s="71" t="str">
        <f>IF(OR(COUNTBLANK(AI117)=1,ISERROR(AI117)),"",COUNT(AI4:AI117))</f>
        <v/>
      </c>
      <c r="AG117" s="7" t="e">
        <f t="shared" si="72"/>
        <v>#VALUE!</v>
      </c>
      <c r="AH117" s="1" t="str">
        <f>IF(ISERROR(INDEX(C4:C8,MATCH(G117,D4:D8,0))),"",INDEX(C4:C8,MATCH(G117,D4:D8,0)))</f>
        <v/>
      </c>
      <c r="AI117" s="79" t="e">
        <f>IF(IF(COUNTIF(AI4:AI115,AI115)&gt;=MAX(D4:D8),AI115+2,AI115)&gt;50,"",IF(COUNTIF(AI4:AI115,AI115)&gt;=MAX(D4:D8),AI115+2,AI115))</f>
        <v>#VALUE!</v>
      </c>
      <c r="AJ117" s="1" t="e">
        <f>IF(AI117="","",VLOOKUP(AI117,S4:U53,3,0))</f>
        <v>#VALUE!</v>
      </c>
      <c r="AK117" s="8" t="str">
        <f t="shared" si="73"/>
        <v/>
      </c>
      <c r="AM117" s="71" t="e">
        <f t="shared" si="74"/>
        <v>#VALUE!</v>
      </c>
      <c r="AN117" s="71" t="str">
        <f>IF(OR(COUNTBLANK(AQ117)=1,ISERROR(AQ117)),"",COUNT(AQ4:AQ117))</f>
        <v/>
      </c>
      <c r="AO117" s="7" t="e">
        <f t="shared" si="75"/>
        <v>#VALUE!</v>
      </c>
      <c r="AP117" s="1" t="str">
        <f>IF(ISERROR(INDEX(C4:C8,MATCH(H117,D4:D8,0))),"",INDEX(C4:C8,MATCH(H117,D4:D8,0)))</f>
        <v/>
      </c>
      <c r="AQ117" s="79" t="e">
        <f>IF(IF(COUNTIF(AQ4:AQ116,AQ114)&gt;=MAX(D4:D8),AQ114+3,AQ114)&gt;50,"",IF(COUNTIF(AQ4:AQ116,AQ114)&gt;=MAX(D4:D8),AQ114+3,AQ114))</f>
        <v>#VALUE!</v>
      </c>
      <c r="AR117" s="1" t="e">
        <f>IF(AQ117="","",VLOOKUP(AQ117,S4:U53,3,0))</f>
        <v>#VALUE!</v>
      </c>
      <c r="AS117" s="8" t="str">
        <f t="shared" si="76"/>
        <v/>
      </c>
      <c r="AU117" s="71" t="e">
        <f t="shared" si="77"/>
        <v>#VALUE!</v>
      </c>
      <c r="AV117" s="71" t="str">
        <f>IF(OR(COUNTBLANK(AY117)=1,ISERROR(AY117)),"",COUNT(AY4:AY117))</f>
        <v/>
      </c>
      <c r="AW117" s="7" t="e">
        <f t="shared" si="78"/>
        <v>#VALUE!</v>
      </c>
      <c r="AX117" s="1" t="str">
        <f>IF(ISERROR(INDEX(C4:C8,MATCH(I117,D4:D8,0))),"",INDEX(C4:C8,MATCH(I117,D4:D8,0)))</f>
        <v/>
      </c>
      <c r="AY117" s="79" t="e">
        <f>IF(IF(COUNTIF(AY4:AY116,AY113)&gt;=MAX(D4:D8),AY113+4,AY113)&gt;50,"",IF(COUNTIF(AY4:AY116,AY113)&gt;=MAX(D4:D8),AY113+4,AY113))</f>
        <v>#VALUE!</v>
      </c>
      <c r="AZ117" s="76" t="e">
        <f>IF(AY117="","",VLOOKUP(AY117,S4:U53,3,0))</f>
        <v>#VALUE!</v>
      </c>
      <c r="BA117" s="8" t="str">
        <f t="shared" si="79"/>
        <v/>
      </c>
      <c r="BC117" s="71" t="e">
        <f t="shared" si="80"/>
        <v>#VALUE!</v>
      </c>
      <c r="BD117" s="71" t="str">
        <f>IF(OR(COUNTBLANK(BG117)=1,ISERROR(BG117)),"",COUNT(BG4:BG117))</f>
        <v/>
      </c>
      <c r="BE117" s="7" t="e">
        <f t="shared" si="81"/>
        <v>#VALUE!</v>
      </c>
      <c r="BF117" s="1" t="str">
        <f>IF(ISERROR(INDEX(C4:C8,MATCH(J117,D4:D8,0))),"",INDEX(C4:C8,MATCH(J117,D4:D8,0)))</f>
        <v/>
      </c>
      <c r="BG117" s="79" t="e">
        <f>IF(IF(COUNTIF(BG4:BG116,BG112)&gt;=MAX(D4:D8),BG112+5,BG112)&gt;50,"",IF(COUNTIF(BG4:BG116,BG112)&gt;=MAX(D4:D8),BG112+5,BG112))</f>
        <v>#VALUE!</v>
      </c>
      <c r="BH117" s="76" t="e">
        <f>IF(BG117="","",VLOOKUP(BG117,S4:U53,3,0))</f>
        <v>#VALUE!</v>
      </c>
      <c r="BI117" s="8" t="str">
        <f t="shared" si="82"/>
        <v/>
      </c>
      <c r="BP117" s="71" t="e">
        <f>IF(BT117="","",BT117*10+4)</f>
        <v>#VALUE!</v>
      </c>
      <c r="BQ117" s="71" t="str">
        <f>IF(OR(COUNTBLANK(BT117)=1,ISERROR(BT117)),"",COUNT(BT4:BT117))</f>
        <v/>
      </c>
      <c r="BR117" s="7" t="e">
        <f t="shared" si="84"/>
        <v>#VALUE!</v>
      </c>
      <c r="BS117" s="1" t="str">
        <f t="shared" si="85"/>
        <v/>
      </c>
      <c r="BT117" s="79" t="e">
        <f>IF(IF(COUNTIF($BT$4:BT116,BT116)&gt;=MAX($D$4:$D$8),BT116+1,BT116)&gt;55,"",IF(COUNTIF($BT$4:BT116,BT116)&gt;=MAX($D$4:$D$8),BT116+1,BT116))</f>
        <v>#VALUE!</v>
      </c>
      <c r="BU117" s="1" t="e">
        <f t="shared" si="86"/>
        <v>#VALUE!</v>
      </c>
      <c r="BV117" s="8" t="str">
        <f t="shared" si="87"/>
        <v/>
      </c>
      <c r="BX117" s="71" t="e">
        <f t="shared" si="88"/>
        <v>#VALUE!</v>
      </c>
      <c r="BY117" s="71" t="str">
        <f>IF(OR(COUNTBLANK(CB117)=1,ISERROR(CB117)),"",COUNT($CB$4:CB117))</f>
        <v/>
      </c>
      <c r="BZ117" s="7" t="e">
        <f t="shared" si="89"/>
        <v>#VALUE!</v>
      </c>
      <c r="CA117" s="1" t="str">
        <f t="shared" si="90"/>
        <v/>
      </c>
      <c r="CB117" s="79" t="e">
        <f>IF(IF(COUNTIF($CB$4:CB116,CB115)&gt;=MAX($D$4:$D$8),CB115+2,CB115)&gt;55,"",IF(COUNTIF($CB$4:CB116,CB115)&gt;=MAX($D$4:$D$8),CB115+2,CB115))</f>
        <v>#VALUE!</v>
      </c>
      <c r="CC117" s="1" t="e">
        <f t="shared" si="91"/>
        <v>#VALUE!</v>
      </c>
      <c r="CD117" s="8" t="str">
        <f t="shared" si="92"/>
        <v/>
      </c>
      <c r="CF117" s="71" t="e">
        <f t="shared" si="105"/>
        <v>#VALUE!</v>
      </c>
      <c r="CG117" s="71" t="str">
        <f>IF(OR(COUNTBLANK(CJ117)=1,ISERROR(CJ117)),"",COUNT($CJ$4:CJ117))</f>
        <v/>
      </c>
      <c r="CH117" s="7" t="e">
        <f t="shared" si="106"/>
        <v>#VALUE!</v>
      </c>
      <c r="CI117" s="1" t="str">
        <f t="shared" si="107"/>
        <v/>
      </c>
      <c r="CJ117" s="79" t="e">
        <f>IF(IF(COUNTIF($CJ$4:CJ116,CJ114)&gt;=MAX($D$4:$D$8),CJ114+3,CJ114)&gt;55,"",IF(COUNTIF($CJ$4:CJ116,CJ114)&gt;=MAX($D$4:$D$8),CJ114+3,CJ114))</f>
        <v>#VALUE!</v>
      </c>
      <c r="CK117" s="1" t="e">
        <f t="shared" si="93"/>
        <v>#VALUE!</v>
      </c>
      <c r="CL117" s="8" t="str">
        <f t="shared" si="108"/>
        <v/>
      </c>
      <c r="CN117" s="71" t="e">
        <f t="shared" si="99"/>
        <v>#VALUE!</v>
      </c>
      <c r="CO117" s="71" t="str">
        <f>IF(OR(COUNTBLANK(CR117)=1,ISERROR(CR117)),"",COUNT($CR$4:CR117))</f>
        <v/>
      </c>
      <c r="CP117" s="7" t="e">
        <f t="shared" si="100"/>
        <v>#VALUE!</v>
      </c>
      <c r="CQ117" s="1" t="str">
        <f t="shared" si="101"/>
        <v/>
      </c>
      <c r="CR117" s="79" t="e">
        <f>IF(IF(COUNTIF($CR$4:CR116,CR113)&gt;=MAX($D$4:$D$8),CR113+4,CR113)&gt;55,"",IF(COUNTIF($CR$4:CR116,CR113)&gt;=MAX($D$4:$D$8),CR113+4,CR113))</f>
        <v>#VALUE!</v>
      </c>
      <c r="CS117" s="1" t="e">
        <f t="shared" si="94"/>
        <v>#VALUE!</v>
      </c>
      <c r="CT117" s="8" t="str">
        <f t="shared" si="102"/>
        <v/>
      </c>
      <c r="CV117" s="71" t="e">
        <f t="shared" si="109"/>
        <v>#VALUE!</v>
      </c>
      <c r="CW117" s="71" t="str">
        <f>IF(OR(COUNTBLANK(CZ117)=1,ISERROR(CZ117)),"",COUNT($CZ$4:CZ117))</f>
        <v/>
      </c>
      <c r="CX117" s="7" t="e">
        <f t="shared" si="110"/>
        <v>#VALUE!</v>
      </c>
      <c r="CY117" s="1" t="str">
        <f t="shared" si="111"/>
        <v/>
      </c>
      <c r="CZ117" s="79" t="e">
        <f>IF(IF(COUNTIF($CZ$4:CZ116,CZ112)&gt;=MAX($D$4:$D$8),CZ112+5,CZ112)&gt;55,"",IF(COUNTIF($CZ$4:CZ116,CZ112)&gt;=MAX($D$4:$D$8),CZ112+5,CZ112))</f>
        <v>#VALUE!</v>
      </c>
      <c r="DA117" s="1" t="e">
        <f t="shared" si="95"/>
        <v>#VALUE!</v>
      </c>
      <c r="DB117" s="8" t="str">
        <f t="shared" si="112"/>
        <v/>
      </c>
    </row>
    <row r="118" spans="5:106" x14ac:dyDescent="0.15">
      <c r="E118" s="1">
        <v>115</v>
      </c>
      <c r="F118" s="1">
        <f t="shared" si="96"/>
        <v>1</v>
      </c>
      <c r="G118" s="1">
        <f t="shared" si="103"/>
        <v>1</v>
      </c>
      <c r="H118" s="1">
        <f t="shared" si="97"/>
        <v>1</v>
      </c>
      <c r="I118" s="1">
        <f t="shared" si="98"/>
        <v>1</v>
      </c>
      <c r="J118" s="1">
        <f t="shared" si="104"/>
        <v>1</v>
      </c>
      <c r="L118" s="1" t="str">
        <f>IF(ISERROR(HLOOKUP($C$10,$F$3:$J$253,116,0)),"",HLOOKUP($C$10,$F$3:$J$253,116,0))</f>
        <v/>
      </c>
      <c r="N118" s="67"/>
      <c r="W118" s="71" t="e">
        <f>IF(AA118="","",AA118*10+5)</f>
        <v>#VALUE!</v>
      </c>
      <c r="X118" s="71" t="str">
        <f>IF(OR(COUNTBLANK(AA118)=1,ISERROR(AA118)),"",COUNT(AA4:AA118))</f>
        <v/>
      </c>
      <c r="Y118" s="7" t="e">
        <f t="shared" si="69"/>
        <v>#VALUE!</v>
      </c>
      <c r="Z118" s="1" t="str">
        <f t="shared" si="83"/>
        <v/>
      </c>
      <c r="AA118" s="79" t="e">
        <f>IF(IF(COUNTIF(AA4:AA117,AA117)&gt;=MAX(D4:D8),AA117+1,AA117)&gt;50,"",IF(COUNTIF(AA4:AA117,AA117)&gt;=MAX(D4:D8),AA117+1,AA117))</f>
        <v>#VALUE!</v>
      </c>
      <c r="AB118" s="1" t="e">
        <f>IF(AA118="","",VLOOKUP(AA118,S4:U53,3,0))</f>
        <v>#VALUE!</v>
      </c>
      <c r="AC118" s="8" t="str">
        <f t="shared" si="70"/>
        <v/>
      </c>
      <c r="AE118" s="71" t="e">
        <f t="shared" si="71"/>
        <v>#VALUE!</v>
      </c>
      <c r="AF118" s="71" t="str">
        <f>IF(OR(COUNTBLANK(AI118)=1,ISERROR(AI118)),"",COUNT(AI4:AI118))</f>
        <v/>
      </c>
      <c r="AG118" s="7" t="e">
        <f t="shared" si="72"/>
        <v>#VALUE!</v>
      </c>
      <c r="AH118" s="1" t="str">
        <f>IF(ISERROR(INDEX(C4:C8,MATCH(G118,D4:D8,0))),"",INDEX(C4:C8,MATCH(G118,D4:D8,0)))</f>
        <v/>
      </c>
      <c r="AI118" s="79" t="e">
        <f>IF(IF(COUNTIF(AI4:AI117,AI116)&gt;=MAX(D4:D8),AI116+2,AI116)&gt;50,"",IF(COUNTIF(AI4:AI117,AI116)&gt;=MAX(D4:D8),AI116+2,AI116))</f>
        <v>#VALUE!</v>
      </c>
      <c r="AJ118" s="1" t="e">
        <f>IF(AI118="","",VLOOKUP(AI118,S4:U53,3,0))</f>
        <v>#VALUE!</v>
      </c>
      <c r="AK118" s="8" t="str">
        <f t="shared" si="73"/>
        <v/>
      </c>
      <c r="AM118" s="71" t="e">
        <f t="shared" si="74"/>
        <v>#VALUE!</v>
      </c>
      <c r="AN118" s="71" t="str">
        <f>IF(OR(COUNTBLANK(AQ118)=1,ISERROR(AQ118)),"",COUNT(AQ4:AQ118))</f>
        <v/>
      </c>
      <c r="AO118" s="7" t="e">
        <f t="shared" si="75"/>
        <v>#VALUE!</v>
      </c>
      <c r="AP118" s="1" t="str">
        <f>IF(ISERROR(INDEX(C4:C8,MATCH(H118,D4:D8,0))),"",INDEX(C4:C8,MATCH(H118,D4:D8,0)))</f>
        <v/>
      </c>
      <c r="AQ118" s="79" t="e">
        <f>IF(IF(COUNTIF(AQ4:AQ117,AQ115)&gt;=MAX(D4:D8),AQ115+3,AQ115)&gt;50,"",IF(COUNTIF(AQ4:AQ117,AQ115)&gt;=MAX(D4:D8),AQ115+3,AQ115))</f>
        <v>#VALUE!</v>
      </c>
      <c r="AR118" s="1" t="e">
        <f>IF(AQ118="","",VLOOKUP(AQ118,S4:U53,3,0))</f>
        <v>#VALUE!</v>
      </c>
      <c r="AS118" s="8" t="str">
        <f t="shared" si="76"/>
        <v/>
      </c>
      <c r="AU118" s="71" t="e">
        <f t="shared" si="77"/>
        <v>#VALUE!</v>
      </c>
      <c r="AV118" s="71" t="str">
        <f>IF(OR(COUNTBLANK(AY118)=1,ISERROR(AY118)),"",COUNT(AY4:AY118))</f>
        <v/>
      </c>
      <c r="AW118" s="7" t="e">
        <f t="shared" si="78"/>
        <v>#VALUE!</v>
      </c>
      <c r="AX118" s="1" t="str">
        <f>IF(ISERROR(INDEX(C4:C8,MATCH(I118,D4:D8,0))),"",INDEX(C4:C8,MATCH(I118,D4:D8,0)))</f>
        <v/>
      </c>
      <c r="AY118" s="79" t="e">
        <f>IF(IF(COUNTIF(AY4:AY117,AY114)&gt;=MAX(D4:D8),AY114+4,AY114)&gt;50,"",IF(COUNTIF(AY4:AY117,AY114)&gt;=MAX(D4:D8),AY114+4,AY114))</f>
        <v>#VALUE!</v>
      </c>
      <c r="AZ118" s="76" t="e">
        <f>IF(AY118="","",VLOOKUP(AY118,S4:U53,3,0))</f>
        <v>#VALUE!</v>
      </c>
      <c r="BA118" s="8" t="str">
        <f t="shared" si="79"/>
        <v/>
      </c>
      <c r="BC118" s="71" t="e">
        <f t="shared" si="80"/>
        <v>#VALUE!</v>
      </c>
      <c r="BD118" s="71" t="str">
        <f>IF(OR(COUNTBLANK(BG118)=1,ISERROR(BG118)),"",COUNT(BG4:BG118))</f>
        <v/>
      </c>
      <c r="BE118" s="7" t="e">
        <f t="shared" si="81"/>
        <v>#VALUE!</v>
      </c>
      <c r="BF118" s="1" t="str">
        <f>IF(ISERROR(INDEX(C4:C8,MATCH(J118,D4:D8,0))),"",INDEX(C4:C8,MATCH(J118,D4:D8,0)))</f>
        <v/>
      </c>
      <c r="BG118" s="79" t="e">
        <f>IF(IF(COUNTIF(BG4:BG117,BG113)&gt;=MAX(D4:D8),BG113+5,BG113)&gt;50,"",IF(COUNTIF(BG4:BG117,BG113)&gt;=MAX(D4:D8),BG113+5,BG113))</f>
        <v>#VALUE!</v>
      </c>
      <c r="BH118" s="76" t="e">
        <f>IF(BG118="","",VLOOKUP(BG118,S4:U53,3,0))</f>
        <v>#VALUE!</v>
      </c>
      <c r="BI118" s="8" t="str">
        <f t="shared" si="82"/>
        <v/>
      </c>
      <c r="BP118" s="71" t="e">
        <f>IF(BT118="","",BT118*10+5)</f>
        <v>#VALUE!</v>
      </c>
      <c r="BQ118" s="71" t="str">
        <f>IF(OR(COUNTBLANK(BT118)=1,ISERROR(BT118)),"",COUNT(BT4:BT118))</f>
        <v/>
      </c>
      <c r="BR118" s="7" t="e">
        <f t="shared" si="84"/>
        <v>#VALUE!</v>
      </c>
      <c r="BS118" s="1" t="str">
        <f t="shared" si="85"/>
        <v/>
      </c>
      <c r="BT118" s="79" t="e">
        <f>IF(IF(COUNTIF($BT$4:BT117,BT117)&gt;=MAX($D$4:$D$8),BT117+1,BT117)&gt;55,"",IF(COUNTIF($BT$4:BT117,BT117)&gt;=MAX($D$4:$D$8),BT117+1,BT117))</f>
        <v>#VALUE!</v>
      </c>
      <c r="BU118" s="1" t="e">
        <f t="shared" si="86"/>
        <v>#VALUE!</v>
      </c>
      <c r="BV118" s="8" t="str">
        <f t="shared" si="87"/>
        <v/>
      </c>
      <c r="BX118" s="71" t="e">
        <f t="shared" si="88"/>
        <v>#VALUE!</v>
      </c>
      <c r="BY118" s="71" t="str">
        <f>IF(OR(COUNTBLANK(CB118)=1,ISERROR(CB118)),"",COUNT($CB$4:CB118))</f>
        <v/>
      </c>
      <c r="BZ118" s="7" t="e">
        <f t="shared" si="89"/>
        <v>#VALUE!</v>
      </c>
      <c r="CA118" s="1" t="str">
        <f t="shared" si="90"/>
        <v/>
      </c>
      <c r="CB118" s="79" t="e">
        <f>IF(IF(COUNTIF($CB$4:CB117,CB116)&gt;=MAX($D$4:$D$8),CB116+2,CB116)&gt;55,"",IF(COUNTIF($CB$4:CB117,CB116)&gt;=MAX($D$4:$D$8),CB116+2,CB116))</f>
        <v>#VALUE!</v>
      </c>
      <c r="CC118" s="1" t="e">
        <f t="shared" si="91"/>
        <v>#VALUE!</v>
      </c>
      <c r="CD118" s="8" t="str">
        <f t="shared" si="92"/>
        <v/>
      </c>
      <c r="CF118" s="71" t="e">
        <f t="shared" si="105"/>
        <v>#VALUE!</v>
      </c>
      <c r="CG118" s="71" t="str">
        <f>IF(OR(COUNTBLANK(CJ118)=1,ISERROR(CJ118)),"",COUNT($CJ$4:CJ118))</f>
        <v/>
      </c>
      <c r="CH118" s="7" t="e">
        <f t="shared" si="106"/>
        <v>#VALUE!</v>
      </c>
      <c r="CI118" s="1" t="str">
        <f t="shared" si="107"/>
        <v/>
      </c>
      <c r="CJ118" s="79" t="e">
        <f>IF(IF(COUNTIF($CJ$4:CJ117,CJ115)&gt;=MAX($D$4:$D$8),CJ115+3,CJ115)&gt;55,"",IF(COUNTIF($CJ$4:CJ117,CJ115)&gt;=MAX($D$4:$D$8),CJ115+3,CJ115))</f>
        <v>#VALUE!</v>
      </c>
      <c r="CK118" s="1" t="e">
        <f t="shared" si="93"/>
        <v>#VALUE!</v>
      </c>
      <c r="CL118" s="8" t="str">
        <f t="shared" si="108"/>
        <v/>
      </c>
      <c r="CN118" s="71" t="e">
        <f t="shared" si="99"/>
        <v>#VALUE!</v>
      </c>
      <c r="CO118" s="71" t="str">
        <f>IF(OR(COUNTBLANK(CR118)=1,ISERROR(CR118)),"",COUNT($CR$4:CR118))</f>
        <v/>
      </c>
      <c r="CP118" s="7" t="e">
        <f t="shared" si="100"/>
        <v>#VALUE!</v>
      </c>
      <c r="CQ118" s="1" t="str">
        <f t="shared" si="101"/>
        <v/>
      </c>
      <c r="CR118" s="79" t="e">
        <f>IF(IF(COUNTIF($CR$4:CR117,CR114)&gt;=MAX($D$4:$D$8),CR114+4,CR114)&gt;55,"",IF(COUNTIF($CR$4:CR117,CR114)&gt;=MAX($D$4:$D$8),CR114+4,CR114))</f>
        <v>#VALUE!</v>
      </c>
      <c r="CS118" s="1" t="e">
        <f t="shared" si="94"/>
        <v>#VALUE!</v>
      </c>
      <c r="CT118" s="8" t="str">
        <f t="shared" si="102"/>
        <v/>
      </c>
      <c r="CV118" s="71" t="e">
        <f t="shared" si="109"/>
        <v>#VALUE!</v>
      </c>
      <c r="CW118" s="71" t="str">
        <f>IF(OR(COUNTBLANK(CZ118)=1,ISERROR(CZ118)),"",COUNT($CZ$4:CZ118))</f>
        <v/>
      </c>
      <c r="CX118" s="7" t="e">
        <f t="shared" si="110"/>
        <v>#VALUE!</v>
      </c>
      <c r="CY118" s="1" t="str">
        <f t="shared" si="111"/>
        <v/>
      </c>
      <c r="CZ118" s="79" t="e">
        <f>IF(IF(COUNTIF($CZ$4:CZ117,CZ113)&gt;=MAX($D$4:$D$8),CZ113+5,CZ113)&gt;55,"",IF(COUNTIF($CZ$4:CZ117,CZ113)&gt;=MAX($D$4:$D$8),CZ113+5,CZ113))</f>
        <v>#VALUE!</v>
      </c>
      <c r="DA118" s="1" t="e">
        <f t="shared" si="95"/>
        <v>#VALUE!</v>
      </c>
      <c r="DB118" s="8" t="str">
        <f t="shared" si="112"/>
        <v/>
      </c>
    </row>
    <row r="119" spans="5:106" x14ac:dyDescent="0.15">
      <c r="E119" s="1">
        <v>116</v>
      </c>
      <c r="F119" s="1">
        <f t="shared" si="96"/>
        <v>1</v>
      </c>
      <c r="G119" s="1">
        <f t="shared" si="103"/>
        <v>1</v>
      </c>
      <c r="H119" s="1">
        <f t="shared" si="97"/>
        <v>1</v>
      </c>
      <c r="I119" s="1">
        <f t="shared" si="98"/>
        <v>1</v>
      </c>
      <c r="J119" s="1">
        <f t="shared" si="104"/>
        <v>1</v>
      </c>
      <c r="L119" s="1" t="str">
        <f>IF(ISERROR(HLOOKUP($C$10,$F$3:$J$253,117,0)),"",HLOOKUP($C$10,$F$3:$J$253,117,0))</f>
        <v/>
      </c>
      <c r="N119" s="67"/>
      <c r="W119" s="71" t="e">
        <f>IF(AA119="","",AA119*10+1)</f>
        <v>#VALUE!</v>
      </c>
      <c r="X119" s="71" t="str">
        <f>IF(OR(COUNTBLANK(AA119)=1,ISERROR(AA119)),"",COUNT(AA4:AA119))</f>
        <v/>
      </c>
      <c r="Y119" s="7" t="e">
        <f t="shared" si="69"/>
        <v>#VALUE!</v>
      </c>
      <c r="Z119" s="1" t="str">
        <f t="shared" si="83"/>
        <v/>
      </c>
      <c r="AA119" s="79" t="e">
        <f>IF(IF(COUNTIF(AA4:AA118,AA118)&gt;=MAX(D4:D8),AA118+1,AA118)&gt;50,"",IF(COUNTIF(AA4:AA118,AA118)&gt;=MAX(D4:D8),AA118+1,AA118))</f>
        <v>#VALUE!</v>
      </c>
      <c r="AB119" s="1" t="e">
        <f>IF(AA119="","",VLOOKUP(AA119,S4:U53,3,0))</f>
        <v>#VALUE!</v>
      </c>
      <c r="AC119" s="8" t="str">
        <f t="shared" si="70"/>
        <v/>
      </c>
      <c r="AE119" s="71" t="e">
        <f t="shared" si="71"/>
        <v>#VALUE!</v>
      </c>
      <c r="AF119" s="71" t="str">
        <f>IF(OR(COUNTBLANK(AI119)=1,ISERROR(AI119)),"",COUNT(AI4:AI119))</f>
        <v/>
      </c>
      <c r="AG119" s="7" t="e">
        <f t="shared" si="72"/>
        <v>#VALUE!</v>
      </c>
      <c r="AH119" s="1" t="str">
        <f>IF(ISERROR(INDEX(C4:C8,MATCH(G119,D4:D8,0))),"",INDEX(C4:C8,MATCH(G119,D4:D8,0)))</f>
        <v/>
      </c>
      <c r="AI119" s="79" t="e">
        <f>IF(IF(COUNTIF(AI4:AI117,AI117)&gt;=MAX(D4:D8),AI117+2,AI117)&gt;50,"",IF(COUNTIF(AI4:AI117,AI117)&gt;=MAX(D4:D8),AI117+2,AI117))</f>
        <v>#VALUE!</v>
      </c>
      <c r="AJ119" s="1" t="e">
        <f>IF(AI119="","",VLOOKUP(AI119,S4:U53,3,0))</f>
        <v>#VALUE!</v>
      </c>
      <c r="AK119" s="8" t="str">
        <f t="shared" si="73"/>
        <v/>
      </c>
      <c r="AM119" s="71" t="e">
        <f t="shared" si="74"/>
        <v>#VALUE!</v>
      </c>
      <c r="AN119" s="71" t="str">
        <f>IF(OR(COUNTBLANK(AQ119)=1,ISERROR(AQ119)),"",COUNT(AQ4:AQ119))</f>
        <v/>
      </c>
      <c r="AO119" s="7" t="e">
        <f t="shared" si="75"/>
        <v>#VALUE!</v>
      </c>
      <c r="AP119" s="1" t="str">
        <f>IF(ISERROR(INDEX(C4:C8,MATCH(H119,D4:D8,0))),"",INDEX(C4:C8,MATCH(H119,D4:D8,0)))</f>
        <v/>
      </c>
      <c r="AQ119" s="79" t="e">
        <f>IF(IF(COUNTIF(AQ4:AQ118,AQ116)&gt;=MAX(D4:D8),AQ116+3,AQ116)&gt;50,"",IF(COUNTIF(AQ4:AQ118,AQ116)&gt;=MAX(D4:D8),AQ116+3,AQ116))</f>
        <v>#VALUE!</v>
      </c>
      <c r="AR119" s="1" t="e">
        <f>IF(AQ119="","",VLOOKUP(AQ119,S4:U53,3,0))</f>
        <v>#VALUE!</v>
      </c>
      <c r="AS119" s="8" t="str">
        <f t="shared" si="76"/>
        <v/>
      </c>
      <c r="AU119" s="71" t="e">
        <f t="shared" si="77"/>
        <v>#VALUE!</v>
      </c>
      <c r="AV119" s="71" t="str">
        <f>IF(OR(COUNTBLANK(AY119)=1,ISERROR(AY119)),"",COUNT(AY4:AY119))</f>
        <v/>
      </c>
      <c r="AW119" s="7" t="e">
        <f t="shared" si="78"/>
        <v>#VALUE!</v>
      </c>
      <c r="AX119" s="1" t="str">
        <f>IF(ISERROR(INDEX(C4:C8,MATCH(I119,D4:D8,0))),"",INDEX(C4:C8,MATCH(I119,D4:D8,0)))</f>
        <v/>
      </c>
      <c r="AY119" s="79" t="e">
        <f>IF(IF(COUNTIF(AY4:AY118,AY115)&gt;=MAX(D4:D8),AY115+4,AY115)&gt;50,"",IF(COUNTIF(AY4:AY118,AY115)&gt;=MAX(D4:D8),AY115+4,AY115))</f>
        <v>#VALUE!</v>
      </c>
      <c r="AZ119" s="76" t="e">
        <f>IF(AY119="","",VLOOKUP(AY119,S4:U53,3,0))</f>
        <v>#VALUE!</v>
      </c>
      <c r="BA119" s="8" t="str">
        <f t="shared" si="79"/>
        <v/>
      </c>
      <c r="BC119" s="71" t="e">
        <f t="shared" si="80"/>
        <v>#VALUE!</v>
      </c>
      <c r="BD119" s="71" t="str">
        <f>IF(OR(COUNTBLANK(BG119)=1,ISERROR(BG119)),"",COUNT(BG4:BG119))</f>
        <v/>
      </c>
      <c r="BE119" s="7" t="e">
        <f t="shared" si="81"/>
        <v>#VALUE!</v>
      </c>
      <c r="BF119" s="1" t="str">
        <f>IF(ISERROR(INDEX(C4:C8,MATCH(J119,D4:D8,0))),"",INDEX(C4:C8,MATCH(J119,D4:D8,0)))</f>
        <v/>
      </c>
      <c r="BG119" s="79" t="e">
        <f>IF(IF(COUNTIF(BG4:BG118,BG114)&gt;=MAX(D4:D8),BG114+5,BG114)&gt;50,"",IF(COUNTIF(BG4:BG118,BG114)&gt;=MAX(D4:D8),BG114+5,BG114))</f>
        <v>#VALUE!</v>
      </c>
      <c r="BH119" s="76" t="e">
        <f>IF(BG119="","",VLOOKUP(BG119,S4:U53,3,0))</f>
        <v>#VALUE!</v>
      </c>
      <c r="BI119" s="8" t="str">
        <f t="shared" si="82"/>
        <v/>
      </c>
      <c r="BP119" s="71" t="e">
        <f>IF(BT119="","",BT119*10+1)</f>
        <v>#VALUE!</v>
      </c>
      <c r="BQ119" s="71" t="str">
        <f>IF(OR(COUNTBLANK(BT119)=1,ISERROR(BT119)),"",COUNT(BT4:BT119))</f>
        <v/>
      </c>
      <c r="BR119" s="7" t="e">
        <f t="shared" si="84"/>
        <v>#VALUE!</v>
      </c>
      <c r="BS119" s="1" t="str">
        <f t="shared" si="85"/>
        <v/>
      </c>
      <c r="BT119" s="79" t="e">
        <f>IF(IF(COUNTIF($BT$4:BT118,BT118)&gt;=MAX($D$4:$D$8),BT118+1,BT118)&gt;55,"",IF(COUNTIF($BT$4:BT118,BT118)&gt;=MAX($D$4:$D$8),BT118+1,BT118))</f>
        <v>#VALUE!</v>
      </c>
      <c r="BU119" s="1" t="e">
        <f t="shared" si="86"/>
        <v>#VALUE!</v>
      </c>
      <c r="BV119" s="8" t="str">
        <f t="shared" si="87"/>
        <v/>
      </c>
      <c r="BX119" s="71" t="e">
        <f t="shared" si="88"/>
        <v>#VALUE!</v>
      </c>
      <c r="BY119" s="71" t="str">
        <f>IF(OR(COUNTBLANK(CB119)=1,ISERROR(CB119)),"",COUNT($CB$4:CB119))</f>
        <v/>
      </c>
      <c r="BZ119" s="7" t="e">
        <f t="shared" si="89"/>
        <v>#VALUE!</v>
      </c>
      <c r="CA119" s="1" t="str">
        <f t="shared" si="90"/>
        <v/>
      </c>
      <c r="CB119" s="79" t="e">
        <f>IF(IF(COUNTIF($CB$4:CB118,CB117)&gt;=MAX($D$4:$D$8),CB117+2,CB117)&gt;55,"",IF(COUNTIF($CB$4:CB118,CB117)&gt;=MAX($D$4:$D$8),CB117+2,CB117))</f>
        <v>#VALUE!</v>
      </c>
      <c r="CC119" s="1" t="e">
        <f t="shared" si="91"/>
        <v>#VALUE!</v>
      </c>
      <c r="CD119" s="8" t="str">
        <f t="shared" si="92"/>
        <v/>
      </c>
      <c r="CF119" s="71" t="e">
        <f t="shared" si="105"/>
        <v>#VALUE!</v>
      </c>
      <c r="CG119" s="71" t="str">
        <f>IF(OR(COUNTBLANK(CJ119)=1,ISERROR(CJ119)),"",COUNT($CJ$4:CJ119))</f>
        <v/>
      </c>
      <c r="CH119" s="7" t="e">
        <f t="shared" si="106"/>
        <v>#VALUE!</v>
      </c>
      <c r="CI119" s="1" t="str">
        <f t="shared" si="107"/>
        <v/>
      </c>
      <c r="CJ119" s="79" t="e">
        <f>IF(IF(COUNTIF($CJ$4:CJ118,CJ116)&gt;=MAX($D$4:$D$8),CJ116+3,CJ116)&gt;55,"",IF(COUNTIF($CJ$4:CJ118,CJ116)&gt;=MAX($D$4:$D$8),CJ116+3,CJ116))</f>
        <v>#VALUE!</v>
      </c>
      <c r="CK119" s="1" t="e">
        <f t="shared" si="93"/>
        <v>#VALUE!</v>
      </c>
      <c r="CL119" s="8" t="str">
        <f t="shared" si="108"/>
        <v/>
      </c>
      <c r="CN119" s="71" t="e">
        <f t="shared" si="99"/>
        <v>#VALUE!</v>
      </c>
      <c r="CO119" s="71" t="str">
        <f>IF(OR(COUNTBLANK(CR119)=1,ISERROR(CR119)),"",COUNT($CR$4:CR119))</f>
        <v/>
      </c>
      <c r="CP119" s="7" t="e">
        <f t="shared" si="100"/>
        <v>#VALUE!</v>
      </c>
      <c r="CQ119" s="1" t="str">
        <f t="shared" si="101"/>
        <v/>
      </c>
      <c r="CR119" s="79" t="e">
        <f>IF(IF(COUNTIF($CR$4:CR118,CR115)&gt;=MAX($D$4:$D$8),CR115+4,CR115)&gt;55,"",IF(COUNTIF($CR$4:CR118,CR115)&gt;=MAX($D$4:$D$8),CR115+4,CR115))</f>
        <v>#VALUE!</v>
      </c>
      <c r="CS119" s="1" t="e">
        <f t="shared" si="94"/>
        <v>#VALUE!</v>
      </c>
      <c r="CT119" s="8" t="str">
        <f t="shared" si="102"/>
        <v/>
      </c>
      <c r="CV119" s="71" t="e">
        <f t="shared" si="109"/>
        <v>#VALUE!</v>
      </c>
      <c r="CW119" s="71" t="str">
        <f>IF(OR(COUNTBLANK(CZ119)=1,ISERROR(CZ119)),"",COUNT($CZ$4:CZ119))</f>
        <v/>
      </c>
      <c r="CX119" s="7" t="e">
        <f t="shared" si="110"/>
        <v>#VALUE!</v>
      </c>
      <c r="CY119" s="1" t="str">
        <f t="shared" si="111"/>
        <v/>
      </c>
      <c r="CZ119" s="79" t="e">
        <f>IF(IF(COUNTIF($CZ$4:CZ118,CZ114)&gt;=MAX($D$4:$D$8),CZ114+5,CZ114)&gt;55,"",IF(COUNTIF($CZ$4:CZ118,CZ114)&gt;=MAX($D$4:$D$8),CZ114+5,CZ114))</f>
        <v>#VALUE!</v>
      </c>
      <c r="DA119" s="1" t="e">
        <f t="shared" si="95"/>
        <v>#VALUE!</v>
      </c>
      <c r="DB119" s="8" t="str">
        <f t="shared" si="112"/>
        <v/>
      </c>
    </row>
    <row r="120" spans="5:106" x14ac:dyDescent="0.15">
      <c r="E120" s="1">
        <v>117</v>
      </c>
      <c r="F120" s="1">
        <f t="shared" si="96"/>
        <v>1</v>
      </c>
      <c r="G120" s="1">
        <f t="shared" si="103"/>
        <v>1</v>
      </c>
      <c r="H120" s="1">
        <f t="shared" si="97"/>
        <v>1</v>
      </c>
      <c r="I120" s="1">
        <f t="shared" si="98"/>
        <v>1</v>
      </c>
      <c r="J120" s="1">
        <f t="shared" si="104"/>
        <v>1</v>
      </c>
      <c r="L120" s="1" t="str">
        <f>IF(ISERROR(HLOOKUP($C$10,$F$3:$J$253,118,0)),"",HLOOKUP($C$10,$F$3:$J$253,118,0))</f>
        <v/>
      </c>
      <c r="N120" s="67"/>
      <c r="W120" s="71" t="e">
        <f>IF(AA120="","",AA120*10+2)</f>
        <v>#VALUE!</v>
      </c>
      <c r="X120" s="71" t="str">
        <f>IF(OR(COUNTBLANK(AA120)=1,ISERROR(AA120)),"",COUNT(AA4:AA120))</f>
        <v/>
      </c>
      <c r="Y120" s="7" t="e">
        <f t="shared" si="69"/>
        <v>#VALUE!</v>
      </c>
      <c r="Z120" s="1" t="str">
        <f t="shared" si="83"/>
        <v/>
      </c>
      <c r="AA120" s="79" t="e">
        <f>IF(IF(COUNTIF(AA4:AA119,AA119)&gt;=MAX(D4:D8),AA119+1,AA119)&gt;50,"",IF(COUNTIF(AA4:AA119,AA119)&gt;=MAX(D4:D8),AA119+1,AA119))</f>
        <v>#VALUE!</v>
      </c>
      <c r="AB120" s="1" t="e">
        <f>IF(AA120="","",VLOOKUP(AA120,S4:U53,3,0))</f>
        <v>#VALUE!</v>
      </c>
      <c r="AC120" s="8" t="str">
        <f t="shared" si="70"/>
        <v/>
      </c>
      <c r="AE120" s="71" t="e">
        <f t="shared" si="71"/>
        <v>#VALUE!</v>
      </c>
      <c r="AF120" s="71" t="str">
        <f>IF(OR(COUNTBLANK(AI120)=1,ISERROR(AI120)),"",COUNT(AI4:AI120))</f>
        <v/>
      </c>
      <c r="AG120" s="7" t="e">
        <f t="shared" si="72"/>
        <v>#VALUE!</v>
      </c>
      <c r="AH120" s="1" t="str">
        <f>IF(ISERROR(INDEX(C4:C8,MATCH(G120,D4:D8,0))),"",INDEX(C4:C8,MATCH(G120,D4:D8,0)))</f>
        <v/>
      </c>
      <c r="AI120" s="79" t="e">
        <f>IF(IF(COUNTIF(AI4:AI119,AI118)&gt;=MAX(D4:D8),AI118+2,AI118)&gt;50,"",IF(COUNTIF(AI4:AI119,AI118)&gt;=MAX(D4:D8),AI118+2,AI118))</f>
        <v>#VALUE!</v>
      </c>
      <c r="AJ120" s="1" t="e">
        <f>IF(AI120="","",VLOOKUP(AI120,S4:U53,3,0))</f>
        <v>#VALUE!</v>
      </c>
      <c r="AK120" s="8" t="str">
        <f t="shared" si="73"/>
        <v/>
      </c>
      <c r="AM120" s="71" t="e">
        <f t="shared" si="74"/>
        <v>#VALUE!</v>
      </c>
      <c r="AN120" s="71" t="str">
        <f>IF(OR(COUNTBLANK(AQ120)=1,ISERROR(AQ120)),"",COUNT(AQ4:AQ120))</f>
        <v/>
      </c>
      <c r="AO120" s="7" t="e">
        <f t="shared" si="75"/>
        <v>#VALUE!</v>
      </c>
      <c r="AP120" s="1" t="str">
        <f>IF(ISERROR(INDEX(C4:C8,MATCH(H120,D4:D8,0))),"",INDEX(C4:C8,MATCH(H120,D4:D8,0)))</f>
        <v/>
      </c>
      <c r="AQ120" s="79" t="e">
        <f>IF(IF(COUNTIF(AQ4:AQ119,AQ117)&gt;=MAX(D4:D8),AQ117+3,AQ117)&gt;50,"",IF(COUNTIF(AQ4:AQ119,AQ117)&gt;=MAX(D4:D8),AQ117+3,AQ117))</f>
        <v>#VALUE!</v>
      </c>
      <c r="AR120" s="1" t="e">
        <f>IF(AQ120="","",VLOOKUP(AQ120,S4:U53,3,0))</f>
        <v>#VALUE!</v>
      </c>
      <c r="AS120" s="8" t="str">
        <f t="shared" si="76"/>
        <v/>
      </c>
      <c r="AU120" s="71" t="e">
        <f t="shared" si="77"/>
        <v>#VALUE!</v>
      </c>
      <c r="AV120" s="71" t="str">
        <f>IF(OR(COUNTBLANK(AY120)=1,ISERROR(AY120)),"",COUNT(AY4:AY120))</f>
        <v/>
      </c>
      <c r="AW120" s="7" t="e">
        <f t="shared" si="78"/>
        <v>#VALUE!</v>
      </c>
      <c r="AX120" s="1" t="str">
        <f>IF(ISERROR(INDEX(C4:C8,MATCH(I120,D4:D8,0))),"",INDEX(C4:C8,MATCH(I120,D4:D8,0)))</f>
        <v/>
      </c>
      <c r="AY120" s="79" t="e">
        <f>IF(IF(COUNTIF(AY4:AY119,AY116)&gt;=MAX(D4:D8),AY116+4,AY116)&gt;50,"",IF(COUNTIF(AY4:AY119,AY116)&gt;=MAX(D4:D8),AY116+4,AY116))</f>
        <v>#VALUE!</v>
      </c>
      <c r="AZ120" s="76" t="e">
        <f>IF(AY120="","",VLOOKUP(AY120,S4:U53,3,0))</f>
        <v>#VALUE!</v>
      </c>
      <c r="BA120" s="8" t="str">
        <f t="shared" si="79"/>
        <v/>
      </c>
      <c r="BC120" s="71" t="e">
        <f t="shared" si="80"/>
        <v>#VALUE!</v>
      </c>
      <c r="BD120" s="71" t="str">
        <f>IF(OR(COUNTBLANK(BG120)=1,ISERROR(BG120)),"",COUNT(BG4:BG120))</f>
        <v/>
      </c>
      <c r="BE120" s="7" t="e">
        <f t="shared" si="81"/>
        <v>#VALUE!</v>
      </c>
      <c r="BF120" s="1" t="str">
        <f>IF(ISERROR(INDEX(C4:C8,MATCH(J120,D4:D8,0))),"",INDEX(C4:C8,MATCH(J120,D4:D8,0)))</f>
        <v/>
      </c>
      <c r="BG120" s="79" t="e">
        <f>IF(IF(COUNTIF(BG4:BG119,BG115)&gt;=MAX(D4:D8),BG115+5,BG115)&gt;50,"",IF(COUNTIF(BG4:BG119,BG115)&gt;=MAX(D4:D8),BG115+5,BG115))</f>
        <v>#VALUE!</v>
      </c>
      <c r="BH120" s="76" t="e">
        <f>IF(BG120="","",VLOOKUP(BG120,S4:U53,3,0))</f>
        <v>#VALUE!</v>
      </c>
      <c r="BI120" s="8" t="str">
        <f t="shared" si="82"/>
        <v/>
      </c>
      <c r="BP120" s="71" t="e">
        <f>IF(BT120="","",BT120*10+2)</f>
        <v>#VALUE!</v>
      </c>
      <c r="BQ120" s="71" t="str">
        <f>IF(OR(COUNTBLANK(BT120)=1,ISERROR(BT120)),"",COUNT(BT4:BT120))</f>
        <v/>
      </c>
      <c r="BR120" s="7" t="e">
        <f t="shared" si="84"/>
        <v>#VALUE!</v>
      </c>
      <c r="BS120" s="1" t="str">
        <f t="shared" si="85"/>
        <v/>
      </c>
      <c r="BT120" s="79" t="e">
        <f>IF(IF(COUNTIF($BT$4:BT119,BT119)&gt;=MAX($D$4:$D$8),BT119+1,BT119)&gt;55,"",IF(COUNTIF($BT$4:BT119,BT119)&gt;=MAX($D$4:$D$8),BT119+1,BT119))</f>
        <v>#VALUE!</v>
      </c>
      <c r="BU120" s="1" t="e">
        <f t="shared" si="86"/>
        <v>#VALUE!</v>
      </c>
      <c r="BV120" s="8" t="str">
        <f t="shared" si="87"/>
        <v/>
      </c>
      <c r="BX120" s="71" t="e">
        <f t="shared" si="88"/>
        <v>#VALUE!</v>
      </c>
      <c r="BY120" s="71" t="str">
        <f>IF(OR(COUNTBLANK(CB120)=1,ISERROR(CB120)),"",COUNT($CB$4:CB120))</f>
        <v/>
      </c>
      <c r="BZ120" s="7" t="e">
        <f t="shared" si="89"/>
        <v>#VALUE!</v>
      </c>
      <c r="CA120" s="1" t="str">
        <f t="shared" si="90"/>
        <v/>
      </c>
      <c r="CB120" s="79" t="e">
        <f>IF(IF(COUNTIF($CB$4:CB119,CB118)&gt;=MAX($D$4:$D$8),CB118+2,CB118)&gt;55,"",IF(COUNTIF($CB$4:CB119,CB118)&gt;=MAX($D$4:$D$8),CB118+2,CB118))</f>
        <v>#VALUE!</v>
      </c>
      <c r="CC120" s="1" t="e">
        <f t="shared" si="91"/>
        <v>#VALUE!</v>
      </c>
      <c r="CD120" s="8" t="str">
        <f t="shared" si="92"/>
        <v/>
      </c>
      <c r="CF120" s="71" t="e">
        <f t="shared" si="105"/>
        <v>#VALUE!</v>
      </c>
      <c r="CG120" s="71" t="str">
        <f>IF(OR(COUNTBLANK(CJ120)=1,ISERROR(CJ120)),"",COUNT($CJ$4:CJ120))</f>
        <v/>
      </c>
      <c r="CH120" s="7" t="e">
        <f t="shared" si="106"/>
        <v>#VALUE!</v>
      </c>
      <c r="CI120" s="1" t="str">
        <f t="shared" si="107"/>
        <v/>
      </c>
      <c r="CJ120" s="79" t="e">
        <f>IF(IF(COUNTIF($CJ$4:CJ119,CJ117)&gt;=MAX($D$4:$D$8),CJ117+3,CJ117)&gt;55,"",IF(COUNTIF($CJ$4:CJ119,CJ117)&gt;=MAX($D$4:$D$8),CJ117+3,CJ117))</f>
        <v>#VALUE!</v>
      </c>
      <c r="CK120" s="1" t="e">
        <f t="shared" si="93"/>
        <v>#VALUE!</v>
      </c>
      <c r="CL120" s="8" t="str">
        <f t="shared" si="108"/>
        <v/>
      </c>
      <c r="CN120" s="71" t="e">
        <f t="shared" si="99"/>
        <v>#VALUE!</v>
      </c>
      <c r="CO120" s="71" t="str">
        <f>IF(OR(COUNTBLANK(CR120)=1,ISERROR(CR120)),"",COUNT($CR$4:CR120))</f>
        <v/>
      </c>
      <c r="CP120" s="7" t="e">
        <f t="shared" si="100"/>
        <v>#VALUE!</v>
      </c>
      <c r="CQ120" s="1" t="str">
        <f t="shared" si="101"/>
        <v/>
      </c>
      <c r="CR120" s="79" t="e">
        <f>IF(IF(COUNTIF($CR$4:CR119,CR116)&gt;=MAX($D$4:$D$8),CR116+4,CR116)&gt;55,"",IF(COUNTIF($CR$4:CR119,CR116)&gt;=MAX($D$4:$D$8),CR116+4,CR116))</f>
        <v>#VALUE!</v>
      </c>
      <c r="CS120" s="1" t="e">
        <f t="shared" si="94"/>
        <v>#VALUE!</v>
      </c>
      <c r="CT120" s="8" t="str">
        <f t="shared" si="102"/>
        <v/>
      </c>
      <c r="CV120" s="71" t="e">
        <f t="shared" si="109"/>
        <v>#VALUE!</v>
      </c>
      <c r="CW120" s="71" t="str">
        <f>IF(OR(COUNTBLANK(CZ120)=1,ISERROR(CZ120)),"",COUNT($CZ$4:CZ120))</f>
        <v/>
      </c>
      <c r="CX120" s="7" t="e">
        <f t="shared" si="110"/>
        <v>#VALUE!</v>
      </c>
      <c r="CY120" s="1" t="str">
        <f t="shared" si="111"/>
        <v/>
      </c>
      <c r="CZ120" s="79" t="e">
        <f>IF(IF(COUNTIF($CZ$4:CZ119,CZ115)&gt;=MAX($D$4:$D$8),CZ115+5,CZ115)&gt;55,"",IF(COUNTIF($CZ$4:CZ119,CZ115)&gt;=MAX($D$4:$D$8),CZ115+5,CZ115))</f>
        <v>#VALUE!</v>
      </c>
      <c r="DA120" s="1" t="e">
        <f t="shared" si="95"/>
        <v>#VALUE!</v>
      </c>
      <c r="DB120" s="8" t="str">
        <f t="shared" si="112"/>
        <v/>
      </c>
    </row>
    <row r="121" spans="5:106" x14ac:dyDescent="0.15">
      <c r="E121" s="1">
        <v>118</v>
      </c>
      <c r="F121" s="1">
        <f t="shared" si="96"/>
        <v>1</v>
      </c>
      <c r="G121" s="1">
        <f t="shared" si="103"/>
        <v>1</v>
      </c>
      <c r="H121" s="1">
        <f t="shared" si="97"/>
        <v>1</v>
      </c>
      <c r="I121" s="1">
        <f t="shared" si="98"/>
        <v>1</v>
      </c>
      <c r="J121" s="1">
        <f t="shared" si="104"/>
        <v>1</v>
      </c>
      <c r="L121" s="1" t="str">
        <f>IF(ISERROR(HLOOKUP($C$10,$F$3:$J$253,119,0)),"",HLOOKUP($C$10,$F$3:$J$253,119,0))</f>
        <v/>
      </c>
      <c r="N121" s="67"/>
      <c r="W121" s="71" t="e">
        <f>IF(AA121="","",AA121*10+3)</f>
        <v>#VALUE!</v>
      </c>
      <c r="X121" s="71" t="str">
        <f>IF(OR(COUNTBLANK(AA121)=1,ISERROR(AA121)),"",COUNT(AA4:AA121))</f>
        <v/>
      </c>
      <c r="Y121" s="7" t="e">
        <f t="shared" si="69"/>
        <v>#VALUE!</v>
      </c>
      <c r="Z121" s="1" t="str">
        <f t="shared" si="83"/>
        <v/>
      </c>
      <c r="AA121" s="79" t="e">
        <f>IF(IF(COUNTIF(AA4:AA120,AA120)&gt;=MAX(D4:D8),AA120+1,AA120)&gt;50,"",IF(COUNTIF(AA4:AA120,AA120)&gt;=MAX(D4:D8),AA120+1,AA120))</f>
        <v>#VALUE!</v>
      </c>
      <c r="AB121" s="1" t="e">
        <f>IF(AA121="","",VLOOKUP(AA121,S4:U53,3,0))</f>
        <v>#VALUE!</v>
      </c>
      <c r="AC121" s="8" t="str">
        <f t="shared" si="70"/>
        <v/>
      </c>
      <c r="AE121" s="71" t="e">
        <f t="shared" si="71"/>
        <v>#VALUE!</v>
      </c>
      <c r="AF121" s="71" t="str">
        <f>IF(OR(COUNTBLANK(AI121)=1,ISERROR(AI121)),"",COUNT(AI4:AI121))</f>
        <v/>
      </c>
      <c r="AG121" s="7" t="e">
        <f t="shared" si="72"/>
        <v>#VALUE!</v>
      </c>
      <c r="AH121" s="1" t="str">
        <f>IF(ISERROR(INDEX(C4:C8,MATCH(G121,D4:D8,0))),"",INDEX(C4:C8,MATCH(G121,D4:D8,0)))</f>
        <v/>
      </c>
      <c r="AI121" s="79" t="e">
        <f>IF(IF(COUNTIF(AI4:AI119,AI119)&gt;=MAX(D4:D8),AI119+2,AI119)&gt;50,"",IF(COUNTIF(AI4:AI119,AI119)&gt;=MAX(D4:D8),AI119+2,AI119))</f>
        <v>#VALUE!</v>
      </c>
      <c r="AJ121" s="1" t="e">
        <f>IF(AI121="","",VLOOKUP(AI121,S4:U53,3,0))</f>
        <v>#VALUE!</v>
      </c>
      <c r="AK121" s="8" t="str">
        <f t="shared" si="73"/>
        <v/>
      </c>
      <c r="AM121" s="71" t="e">
        <f t="shared" si="74"/>
        <v>#VALUE!</v>
      </c>
      <c r="AN121" s="71" t="str">
        <f>IF(OR(COUNTBLANK(AQ121)=1,ISERROR(AQ121)),"",COUNT(AQ4:AQ121))</f>
        <v/>
      </c>
      <c r="AO121" s="7" t="e">
        <f t="shared" si="75"/>
        <v>#VALUE!</v>
      </c>
      <c r="AP121" s="1" t="str">
        <f>IF(ISERROR(INDEX(C4:C8,MATCH(H121,D4:D8,0))),"",INDEX(C4:C8,MATCH(H121,D4:D8,0)))</f>
        <v/>
      </c>
      <c r="AQ121" s="79" t="e">
        <f>IF(IF(COUNTIF(AQ4:AQ120,AQ118)&gt;=MAX(D4:D8),AQ118+3,AQ118)&gt;50,"",IF(COUNTIF(AQ4:AQ120,AQ118)&gt;=MAX(D4:D8),AQ118+3,AQ118))</f>
        <v>#VALUE!</v>
      </c>
      <c r="AR121" s="1" t="e">
        <f>IF(AQ121="","",VLOOKUP(AQ121,S4:U53,3,0))</f>
        <v>#VALUE!</v>
      </c>
      <c r="AS121" s="8" t="str">
        <f t="shared" si="76"/>
        <v/>
      </c>
      <c r="AU121" s="71" t="e">
        <f t="shared" si="77"/>
        <v>#VALUE!</v>
      </c>
      <c r="AV121" s="71" t="str">
        <f>IF(OR(COUNTBLANK(AY121)=1,ISERROR(AY121)),"",COUNT(AY4:AY121))</f>
        <v/>
      </c>
      <c r="AW121" s="7" t="e">
        <f t="shared" si="78"/>
        <v>#VALUE!</v>
      </c>
      <c r="AX121" s="1" t="str">
        <f>IF(ISERROR(INDEX(C4:C8,MATCH(I121,D4:D8,0))),"",INDEX(C4:C8,MATCH(I121,D4:D8,0)))</f>
        <v/>
      </c>
      <c r="AY121" s="79" t="e">
        <f>IF(IF(COUNTIF(AY4:AY120,AY117)&gt;=MAX(D4:D8),AY117+4,AY117)&gt;50,"",IF(COUNTIF(AY4:AY120,AY117)&gt;=MAX(D4:D8),AY117+4,AY117))</f>
        <v>#VALUE!</v>
      </c>
      <c r="AZ121" s="76" t="e">
        <f>IF(AY121="","",VLOOKUP(AY121,S4:U53,3,0))</f>
        <v>#VALUE!</v>
      </c>
      <c r="BA121" s="8" t="str">
        <f t="shared" si="79"/>
        <v/>
      </c>
      <c r="BC121" s="71" t="e">
        <f t="shared" si="80"/>
        <v>#VALUE!</v>
      </c>
      <c r="BD121" s="71" t="str">
        <f>IF(OR(COUNTBLANK(BG121)=1,ISERROR(BG121)),"",COUNT(BG4:BG121))</f>
        <v/>
      </c>
      <c r="BE121" s="7" t="e">
        <f t="shared" si="81"/>
        <v>#VALUE!</v>
      </c>
      <c r="BF121" s="1" t="str">
        <f>IF(ISERROR(INDEX(C4:C8,MATCH(J121,D4:D8,0))),"",INDEX(C4:C8,MATCH(J121,D4:D8,0)))</f>
        <v/>
      </c>
      <c r="BG121" s="79" t="e">
        <f>IF(IF(COUNTIF(BG4:BG120,BG116)&gt;=MAX(D4:D8),BG116+5,BG116)&gt;50,"",IF(COUNTIF(BG4:BG120,BG116)&gt;=MAX(D4:D8),BG116+5,BG116))</f>
        <v>#VALUE!</v>
      </c>
      <c r="BH121" s="76" t="e">
        <f>IF(BG121="","",VLOOKUP(BG121,S4:U53,3,0))</f>
        <v>#VALUE!</v>
      </c>
      <c r="BI121" s="8" t="str">
        <f t="shared" si="82"/>
        <v/>
      </c>
      <c r="BP121" s="71" t="e">
        <f>IF(BT121="","",BT121*10+3)</f>
        <v>#VALUE!</v>
      </c>
      <c r="BQ121" s="71" t="str">
        <f>IF(OR(COUNTBLANK(BT121)=1,ISERROR(BT121)),"",COUNT(BT4:BT121))</f>
        <v/>
      </c>
      <c r="BR121" s="7" t="e">
        <f t="shared" si="84"/>
        <v>#VALUE!</v>
      </c>
      <c r="BS121" s="1" t="str">
        <f t="shared" si="85"/>
        <v/>
      </c>
      <c r="BT121" s="79" t="e">
        <f>IF(IF(COUNTIF($BT$4:BT120,BT120)&gt;=MAX($D$4:$D$8),BT120+1,BT120)&gt;55,"",IF(COUNTIF($BT$4:BT120,BT120)&gt;=MAX($D$4:$D$8),BT120+1,BT120))</f>
        <v>#VALUE!</v>
      </c>
      <c r="BU121" s="1" t="e">
        <f t="shared" si="86"/>
        <v>#VALUE!</v>
      </c>
      <c r="BV121" s="8" t="str">
        <f t="shared" si="87"/>
        <v/>
      </c>
      <c r="BX121" s="71" t="e">
        <f t="shared" si="88"/>
        <v>#VALUE!</v>
      </c>
      <c r="BY121" s="71" t="str">
        <f>IF(OR(COUNTBLANK(CB121)=1,ISERROR(CB121)),"",COUNT($CB$4:CB121))</f>
        <v/>
      </c>
      <c r="BZ121" s="7" t="e">
        <f t="shared" si="89"/>
        <v>#VALUE!</v>
      </c>
      <c r="CA121" s="1" t="str">
        <f t="shared" si="90"/>
        <v/>
      </c>
      <c r="CB121" s="79" t="e">
        <f>IF(IF(COUNTIF($CB$4:CB120,CB119)&gt;=MAX($D$4:$D$8),CB119+2,CB119)&gt;55,"",IF(COUNTIF($CB$4:CB120,CB119)&gt;=MAX($D$4:$D$8),CB119+2,CB119))</f>
        <v>#VALUE!</v>
      </c>
      <c r="CC121" s="1" t="e">
        <f t="shared" si="91"/>
        <v>#VALUE!</v>
      </c>
      <c r="CD121" s="8" t="str">
        <f t="shared" si="92"/>
        <v/>
      </c>
      <c r="CF121" s="71" t="e">
        <f t="shared" si="105"/>
        <v>#VALUE!</v>
      </c>
      <c r="CG121" s="71" t="str">
        <f>IF(OR(COUNTBLANK(CJ121)=1,ISERROR(CJ121)),"",COUNT($CJ$4:CJ121))</f>
        <v/>
      </c>
      <c r="CH121" s="7" t="e">
        <f t="shared" si="106"/>
        <v>#VALUE!</v>
      </c>
      <c r="CI121" s="1" t="str">
        <f t="shared" si="107"/>
        <v/>
      </c>
      <c r="CJ121" s="79" t="e">
        <f>IF(IF(COUNTIF($CJ$4:CJ120,CJ118)&gt;=MAX($D$4:$D$8),CJ118+3,CJ118)&gt;55,"",IF(COUNTIF($CJ$4:CJ120,CJ118)&gt;=MAX($D$4:$D$8),CJ118+3,CJ118))</f>
        <v>#VALUE!</v>
      </c>
      <c r="CK121" s="1" t="e">
        <f t="shared" si="93"/>
        <v>#VALUE!</v>
      </c>
      <c r="CL121" s="8" t="str">
        <f t="shared" si="108"/>
        <v/>
      </c>
      <c r="CN121" s="71" t="e">
        <f t="shared" si="99"/>
        <v>#VALUE!</v>
      </c>
      <c r="CO121" s="71" t="str">
        <f>IF(OR(COUNTBLANK(CR121)=1,ISERROR(CR121)),"",COUNT($CR$4:CR121))</f>
        <v/>
      </c>
      <c r="CP121" s="7" t="e">
        <f t="shared" si="100"/>
        <v>#VALUE!</v>
      </c>
      <c r="CQ121" s="1" t="str">
        <f t="shared" si="101"/>
        <v/>
      </c>
      <c r="CR121" s="79" t="e">
        <f>IF(IF(COUNTIF($CR$4:CR120,CR117)&gt;=MAX($D$4:$D$8),CR117+4,CR117)&gt;55,"",IF(COUNTIF($CR$4:CR120,CR117)&gt;=MAX($D$4:$D$8),CR117+4,CR117))</f>
        <v>#VALUE!</v>
      </c>
      <c r="CS121" s="1" t="e">
        <f t="shared" si="94"/>
        <v>#VALUE!</v>
      </c>
      <c r="CT121" s="8" t="str">
        <f t="shared" si="102"/>
        <v/>
      </c>
      <c r="CV121" s="71" t="e">
        <f t="shared" si="109"/>
        <v>#VALUE!</v>
      </c>
      <c r="CW121" s="71" t="str">
        <f>IF(OR(COUNTBLANK(CZ121)=1,ISERROR(CZ121)),"",COUNT($CZ$4:CZ121))</f>
        <v/>
      </c>
      <c r="CX121" s="7" t="e">
        <f t="shared" si="110"/>
        <v>#VALUE!</v>
      </c>
      <c r="CY121" s="1" t="str">
        <f t="shared" si="111"/>
        <v/>
      </c>
      <c r="CZ121" s="79" t="e">
        <f>IF(IF(COUNTIF($CZ$4:CZ120,CZ116)&gt;=MAX($D$4:$D$8),CZ116+5,CZ116)&gt;55,"",IF(COUNTIF($CZ$4:CZ120,CZ116)&gt;=MAX($D$4:$D$8),CZ116+5,CZ116))</f>
        <v>#VALUE!</v>
      </c>
      <c r="DA121" s="1" t="e">
        <f t="shared" si="95"/>
        <v>#VALUE!</v>
      </c>
      <c r="DB121" s="8" t="str">
        <f t="shared" si="112"/>
        <v/>
      </c>
    </row>
    <row r="122" spans="5:106" x14ac:dyDescent="0.15">
      <c r="E122" s="1">
        <v>119</v>
      </c>
      <c r="F122" s="1">
        <f t="shared" si="96"/>
        <v>1</v>
      </c>
      <c r="G122" s="1">
        <f t="shared" si="103"/>
        <v>1</v>
      </c>
      <c r="H122" s="1">
        <f t="shared" si="97"/>
        <v>1</v>
      </c>
      <c r="I122" s="1">
        <f t="shared" si="98"/>
        <v>1</v>
      </c>
      <c r="J122" s="1">
        <f t="shared" si="104"/>
        <v>1</v>
      </c>
      <c r="L122" s="1" t="str">
        <f>IF(ISERROR(HLOOKUP($C$10,$F$3:$J$253,120,0)),"",HLOOKUP($C$10,$F$3:$J$253,120,0))</f>
        <v/>
      </c>
      <c r="N122" s="67"/>
      <c r="W122" s="71" t="e">
        <f>IF(AA122="","",AA122*10+4)</f>
        <v>#VALUE!</v>
      </c>
      <c r="X122" s="71" t="str">
        <f>IF(OR(COUNTBLANK(AA122)=1,ISERROR(AA122)),"",COUNT(AA4:AA122))</f>
        <v/>
      </c>
      <c r="Y122" s="7" t="e">
        <f t="shared" si="69"/>
        <v>#VALUE!</v>
      </c>
      <c r="Z122" s="1" t="str">
        <f t="shared" si="83"/>
        <v/>
      </c>
      <c r="AA122" s="79" t="e">
        <f>IF(IF(COUNTIF(AA4:AA121,AA121)&gt;=MAX(D4:D8),AA121+1,AA121)&gt;50,"",IF(COUNTIF(AA4:AA121,AA121)&gt;=MAX(D4:D8),AA121+1,AA121))</f>
        <v>#VALUE!</v>
      </c>
      <c r="AB122" s="1" t="e">
        <f>IF(AA122="","",VLOOKUP(AA122,S4:U53,3,0))</f>
        <v>#VALUE!</v>
      </c>
      <c r="AC122" s="8" t="str">
        <f t="shared" si="70"/>
        <v/>
      </c>
      <c r="AE122" s="71" t="e">
        <f t="shared" si="71"/>
        <v>#VALUE!</v>
      </c>
      <c r="AF122" s="71" t="str">
        <f>IF(OR(COUNTBLANK(AI122)=1,ISERROR(AI122)),"",COUNT(AI4:AI122))</f>
        <v/>
      </c>
      <c r="AG122" s="7" t="e">
        <f t="shared" si="72"/>
        <v>#VALUE!</v>
      </c>
      <c r="AH122" s="1" t="str">
        <f>IF(ISERROR(INDEX(C4:C8,MATCH(G122,D4:D8,0))),"",INDEX(C4:C8,MATCH(G122,D4:D8,0)))</f>
        <v/>
      </c>
      <c r="AI122" s="79" t="e">
        <f>IF(IF(COUNTIF(AI4:AI121,AI120)&gt;=MAX(D4:D8),AI120+2,AI120)&gt;50,"",IF(COUNTIF(AI4:AI121,AI120)&gt;=MAX(D4:D8),AI120+2,AI120))</f>
        <v>#VALUE!</v>
      </c>
      <c r="AJ122" s="1" t="e">
        <f>IF(AI122="","",VLOOKUP(AI122,S4:U53,3,0))</f>
        <v>#VALUE!</v>
      </c>
      <c r="AK122" s="8" t="str">
        <f t="shared" si="73"/>
        <v/>
      </c>
      <c r="AM122" s="71" t="e">
        <f t="shared" si="74"/>
        <v>#VALUE!</v>
      </c>
      <c r="AN122" s="71" t="str">
        <f>IF(OR(COUNTBLANK(AQ122)=1,ISERROR(AQ122)),"",COUNT(AQ4:AQ122))</f>
        <v/>
      </c>
      <c r="AO122" s="7" t="e">
        <f t="shared" si="75"/>
        <v>#VALUE!</v>
      </c>
      <c r="AP122" s="1" t="str">
        <f>IF(ISERROR(INDEX(C4:C8,MATCH(H122,D4:D8,0))),"",INDEX(C4:C8,MATCH(H122,D4:D8,0)))</f>
        <v/>
      </c>
      <c r="AQ122" s="79" t="e">
        <f>IF(IF(COUNTIF(AQ4:AQ121,AQ119)&gt;=MAX(D4:D8),AQ119+3,AQ119)&gt;50,"",IF(COUNTIF(AQ4:AQ121,AQ119)&gt;=MAX(D4:D8),AQ119+3,AQ119))</f>
        <v>#VALUE!</v>
      </c>
      <c r="AR122" s="1" t="e">
        <f>IF(AQ122="","",VLOOKUP(AQ122,S4:U53,3,0))</f>
        <v>#VALUE!</v>
      </c>
      <c r="AS122" s="8" t="str">
        <f t="shared" si="76"/>
        <v/>
      </c>
      <c r="AU122" s="71" t="e">
        <f t="shared" si="77"/>
        <v>#VALUE!</v>
      </c>
      <c r="AV122" s="71" t="str">
        <f>IF(OR(COUNTBLANK(AY122)=1,ISERROR(AY122)),"",COUNT(AY4:AY122))</f>
        <v/>
      </c>
      <c r="AW122" s="7" t="e">
        <f t="shared" si="78"/>
        <v>#VALUE!</v>
      </c>
      <c r="AX122" s="1" t="str">
        <f>IF(ISERROR(INDEX(C4:C8,MATCH(I122,D4:D8,0))),"",INDEX(C4:C8,MATCH(I122,D4:D8,0)))</f>
        <v/>
      </c>
      <c r="AY122" s="79" t="e">
        <f>IF(IF(COUNTIF(AY4:AY121,AY118)&gt;=MAX(D4:D8),AY118+4,AY118)&gt;50,"",IF(COUNTIF(AY4:AY121,AY118)&gt;=MAX(D4:D8),AY118+4,AY118))</f>
        <v>#VALUE!</v>
      </c>
      <c r="AZ122" s="76" t="e">
        <f>IF(AY122="","",VLOOKUP(AY122,S4:U53,3,0))</f>
        <v>#VALUE!</v>
      </c>
      <c r="BA122" s="8" t="str">
        <f t="shared" si="79"/>
        <v/>
      </c>
      <c r="BC122" s="71" t="e">
        <f t="shared" si="80"/>
        <v>#VALUE!</v>
      </c>
      <c r="BD122" s="71" t="str">
        <f>IF(OR(COUNTBLANK(BG122)=1,ISERROR(BG122)),"",COUNT(BG4:BG122))</f>
        <v/>
      </c>
      <c r="BE122" s="7" t="e">
        <f t="shared" si="81"/>
        <v>#VALUE!</v>
      </c>
      <c r="BF122" s="1" t="str">
        <f>IF(ISERROR(INDEX(C4:C8,MATCH(J122,D4:D8,0))),"",INDEX(C4:C8,MATCH(J122,D4:D8,0)))</f>
        <v/>
      </c>
      <c r="BG122" s="79" t="e">
        <f>IF(IF(COUNTIF(BG4:BG121,BG117)&gt;=MAX(D4:D8),BG117+5,BG117)&gt;50,"",IF(COUNTIF(BG4:BG121,BG117)&gt;=MAX(D4:D8),BG117+5,BG117))</f>
        <v>#VALUE!</v>
      </c>
      <c r="BH122" s="76" t="e">
        <f>IF(BG122="","",VLOOKUP(BG122,S4:U53,3,0))</f>
        <v>#VALUE!</v>
      </c>
      <c r="BI122" s="8" t="str">
        <f t="shared" si="82"/>
        <v/>
      </c>
      <c r="BP122" s="71" t="e">
        <f>IF(BT122="","",BT122*10+4)</f>
        <v>#VALUE!</v>
      </c>
      <c r="BQ122" s="71" t="str">
        <f>IF(OR(COUNTBLANK(BT122)=1,ISERROR(BT122)),"",COUNT(BT4:BT122))</f>
        <v/>
      </c>
      <c r="BR122" s="7" t="e">
        <f t="shared" si="84"/>
        <v>#VALUE!</v>
      </c>
      <c r="BS122" s="1" t="str">
        <f t="shared" si="85"/>
        <v/>
      </c>
      <c r="BT122" s="79" t="e">
        <f>IF(IF(COUNTIF($BT$4:BT121,BT121)&gt;=MAX($D$4:$D$8),BT121+1,BT121)&gt;55,"",IF(COUNTIF($BT$4:BT121,BT121)&gt;=MAX($D$4:$D$8),BT121+1,BT121))</f>
        <v>#VALUE!</v>
      </c>
      <c r="BU122" s="1" t="e">
        <f t="shared" si="86"/>
        <v>#VALUE!</v>
      </c>
      <c r="BV122" s="8" t="str">
        <f t="shared" si="87"/>
        <v/>
      </c>
      <c r="BX122" s="71" t="e">
        <f t="shared" si="88"/>
        <v>#VALUE!</v>
      </c>
      <c r="BY122" s="71" t="str">
        <f>IF(OR(COUNTBLANK(CB122)=1,ISERROR(CB122)),"",COUNT($CB$4:CB122))</f>
        <v/>
      </c>
      <c r="BZ122" s="7" t="e">
        <f t="shared" si="89"/>
        <v>#VALUE!</v>
      </c>
      <c r="CA122" s="1" t="str">
        <f t="shared" si="90"/>
        <v/>
      </c>
      <c r="CB122" s="79" t="e">
        <f>IF(IF(COUNTIF($CB$4:CB121,CB120)&gt;=MAX($D$4:$D$8),CB120+2,CB120)&gt;55,"",IF(COUNTIF($CB$4:CB121,CB120)&gt;=MAX($D$4:$D$8),CB120+2,CB120))</f>
        <v>#VALUE!</v>
      </c>
      <c r="CC122" s="1" t="e">
        <f t="shared" si="91"/>
        <v>#VALUE!</v>
      </c>
      <c r="CD122" s="8" t="str">
        <f t="shared" si="92"/>
        <v/>
      </c>
      <c r="CF122" s="71" t="e">
        <f t="shared" si="105"/>
        <v>#VALUE!</v>
      </c>
      <c r="CG122" s="71" t="str">
        <f>IF(OR(COUNTBLANK(CJ122)=1,ISERROR(CJ122)),"",COUNT($CJ$4:CJ122))</f>
        <v/>
      </c>
      <c r="CH122" s="7" t="e">
        <f t="shared" si="106"/>
        <v>#VALUE!</v>
      </c>
      <c r="CI122" s="1" t="str">
        <f t="shared" si="107"/>
        <v/>
      </c>
      <c r="CJ122" s="79" t="e">
        <f>IF(IF(COUNTIF($CJ$4:CJ121,CJ119)&gt;=MAX($D$4:$D$8),CJ119+3,CJ119)&gt;55,"",IF(COUNTIF($CJ$4:CJ121,CJ119)&gt;=MAX($D$4:$D$8),CJ119+3,CJ119))</f>
        <v>#VALUE!</v>
      </c>
      <c r="CK122" s="1" t="e">
        <f t="shared" si="93"/>
        <v>#VALUE!</v>
      </c>
      <c r="CL122" s="8" t="str">
        <f t="shared" si="108"/>
        <v/>
      </c>
      <c r="CN122" s="71" t="e">
        <f t="shared" si="99"/>
        <v>#VALUE!</v>
      </c>
      <c r="CO122" s="71" t="str">
        <f>IF(OR(COUNTBLANK(CR122)=1,ISERROR(CR122)),"",COUNT($CR$4:CR122))</f>
        <v/>
      </c>
      <c r="CP122" s="7" t="e">
        <f t="shared" si="100"/>
        <v>#VALUE!</v>
      </c>
      <c r="CQ122" s="1" t="str">
        <f t="shared" si="101"/>
        <v/>
      </c>
      <c r="CR122" s="79" t="e">
        <f>IF(IF(COUNTIF($CR$4:CR121,CR118)&gt;=MAX($D$4:$D$8),CR118+4,CR118)&gt;55,"",IF(COUNTIF($CR$4:CR121,CR118)&gt;=MAX($D$4:$D$8),CR118+4,CR118))</f>
        <v>#VALUE!</v>
      </c>
      <c r="CS122" s="1" t="e">
        <f t="shared" si="94"/>
        <v>#VALUE!</v>
      </c>
      <c r="CT122" s="8" t="str">
        <f t="shared" si="102"/>
        <v/>
      </c>
      <c r="CV122" s="71" t="e">
        <f t="shared" si="109"/>
        <v>#VALUE!</v>
      </c>
      <c r="CW122" s="71" t="str">
        <f>IF(OR(COUNTBLANK(CZ122)=1,ISERROR(CZ122)),"",COUNT($CZ$4:CZ122))</f>
        <v/>
      </c>
      <c r="CX122" s="7" t="e">
        <f t="shared" si="110"/>
        <v>#VALUE!</v>
      </c>
      <c r="CY122" s="1" t="str">
        <f t="shared" si="111"/>
        <v/>
      </c>
      <c r="CZ122" s="79" t="e">
        <f>IF(IF(COUNTIF($CZ$4:CZ121,CZ117)&gt;=MAX($D$4:$D$8),CZ117+5,CZ117)&gt;55,"",IF(COUNTIF($CZ$4:CZ121,CZ117)&gt;=MAX($D$4:$D$8),CZ117+5,CZ117))</f>
        <v>#VALUE!</v>
      </c>
      <c r="DA122" s="1" t="e">
        <f t="shared" si="95"/>
        <v>#VALUE!</v>
      </c>
      <c r="DB122" s="8" t="str">
        <f t="shared" si="112"/>
        <v/>
      </c>
    </row>
    <row r="123" spans="5:106" x14ac:dyDescent="0.15">
      <c r="E123" s="1">
        <v>120</v>
      </c>
      <c r="F123" s="1">
        <f t="shared" si="96"/>
        <v>1</v>
      </c>
      <c r="G123" s="1">
        <f t="shared" si="103"/>
        <v>1</v>
      </c>
      <c r="H123" s="1">
        <f t="shared" si="97"/>
        <v>1</v>
      </c>
      <c r="I123" s="1">
        <f t="shared" si="98"/>
        <v>1</v>
      </c>
      <c r="J123" s="1">
        <f t="shared" si="104"/>
        <v>1</v>
      </c>
      <c r="L123" s="1" t="str">
        <f>IF(ISERROR(HLOOKUP($C$10,$F$3:$J$253,121,0)),"",HLOOKUP($C$10,$F$3:$J$253,121,0))</f>
        <v/>
      </c>
      <c r="N123" s="67"/>
      <c r="W123" s="71" t="e">
        <f>IF(AA123="","",AA123*10+5)</f>
        <v>#VALUE!</v>
      </c>
      <c r="X123" s="71" t="str">
        <f>IF(OR(COUNTBLANK(AA123)=1,ISERROR(AA123)),"",COUNT(AA4:AA123))</f>
        <v/>
      </c>
      <c r="Y123" s="7" t="e">
        <f t="shared" si="69"/>
        <v>#VALUE!</v>
      </c>
      <c r="Z123" s="1" t="str">
        <f t="shared" si="83"/>
        <v/>
      </c>
      <c r="AA123" s="79" t="e">
        <f>IF(IF(COUNTIF(AA4:AA122,AA122)&gt;=MAX(D4:D8),AA122+1,AA122)&gt;50,"",IF(COUNTIF(AA4:AA122,AA122)&gt;=MAX(D4:D8),AA122+1,AA122))</f>
        <v>#VALUE!</v>
      </c>
      <c r="AB123" s="1" t="e">
        <f>IF(AA123="","",VLOOKUP(AA123,S4:U53,3,0))</f>
        <v>#VALUE!</v>
      </c>
      <c r="AC123" s="8" t="str">
        <f t="shared" si="70"/>
        <v/>
      </c>
      <c r="AE123" s="71" t="e">
        <f t="shared" si="71"/>
        <v>#VALUE!</v>
      </c>
      <c r="AF123" s="71" t="str">
        <f>IF(OR(COUNTBLANK(AI123)=1,ISERROR(AI123)),"",COUNT(AI4:AI123))</f>
        <v/>
      </c>
      <c r="AG123" s="7" t="e">
        <f t="shared" si="72"/>
        <v>#VALUE!</v>
      </c>
      <c r="AH123" s="1" t="str">
        <f>IF(ISERROR(INDEX(C4:C8,MATCH(G123,D4:D8,0))),"",INDEX(C4:C8,MATCH(G123,D4:D8,0)))</f>
        <v/>
      </c>
      <c r="AI123" s="79" t="e">
        <f>IF(IF(COUNTIF(AI4:AI121,AI121)&gt;=MAX(D4:D8),AI121+2,AI121)&gt;50,"",IF(COUNTIF(AI4:AI121,AI121)&gt;=MAX(D4:D8),AI121+2,AI121))</f>
        <v>#VALUE!</v>
      </c>
      <c r="AJ123" s="1" t="e">
        <f>IF(AI123="","",VLOOKUP(AI123,S4:U53,3,0))</f>
        <v>#VALUE!</v>
      </c>
      <c r="AK123" s="8" t="str">
        <f t="shared" si="73"/>
        <v/>
      </c>
      <c r="AM123" s="71" t="e">
        <f t="shared" si="74"/>
        <v>#VALUE!</v>
      </c>
      <c r="AN123" s="71" t="str">
        <f>IF(OR(COUNTBLANK(AQ123)=1,ISERROR(AQ123)),"",COUNT(AQ4:AQ123))</f>
        <v/>
      </c>
      <c r="AO123" s="7" t="e">
        <f t="shared" si="75"/>
        <v>#VALUE!</v>
      </c>
      <c r="AP123" s="1" t="str">
        <f>IF(ISERROR(INDEX(C4:C8,MATCH(H123,D4:D8,0))),"",INDEX(C4:C8,MATCH(H123,D4:D8,0)))</f>
        <v/>
      </c>
      <c r="AQ123" s="79" t="e">
        <f>IF(IF(COUNTIF(AQ4:AQ122,AQ120)&gt;=MAX(D4:D8),AQ120+3,AQ120)&gt;50,"",IF(COUNTIF(AQ4:AQ122,AQ120)&gt;=MAX(D4:D8),AQ120+3,AQ120))</f>
        <v>#VALUE!</v>
      </c>
      <c r="AR123" s="1" t="e">
        <f>IF(AQ123="","",VLOOKUP(AQ123,S4:U53,3,0))</f>
        <v>#VALUE!</v>
      </c>
      <c r="AS123" s="8" t="str">
        <f t="shared" si="76"/>
        <v/>
      </c>
      <c r="AU123" s="71" t="e">
        <f t="shared" si="77"/>
        <v>#VALUE!</v>
      </c>
      <c r="AV123" s="71" t="str">
        <f>IF(OR(COUNTBLANK(AY123)=1,ISERROR(AY123)),"",COUNT(AY4:AY123))</f>
        <v/>
      </c>
      <c r="AW123" s="7" t="e">
        <f t="shared" si="78"/>
        <v>#VALUE!</v>
      </c>
      <c r="AX123" s="1" t="str">
        <f>IF(ISERROR(INDEX(C4:C8,MATCH(I123,D4:D8,0))),"",INDEX(C4:C8,MATCH(I123,D4:D8,0)))</f>
        <v/>
      </c>
      <c r="AY123" s="79" t="e">
        <f>IF(IF(COUNTIF(AY4:AY122,AY119)&gt;=MAX(D4:D8),AY119+4,AY119)&gt;50,"",IF(COUNTIF(AY4:AY122,AY119)&gt;=MAX(D4:D8),AY119+4,AY119))</f>
        <v>#VALUE!</v>
      </c>
      <c r="AZ123" s="76" t="e">
        <f>IF(AY123="","",VLOOKUP(AY123,S4:U53,3,0))</f>
        <v>#VALUE!</v>
      </c>
      <c r="BA123" s="8" t="str">
        <f t="shared" si="79"/>
        <v/>
      </c>
      <c r="BC123" s="71" t="e">
        <f t="shared" si="80"/>
        <v>#VALUE!</v>
      </c>
      <c r="BD123" s="71" t="str">
        <f>IF(OR(COUNTBLANK(BG123)=1,ISERROR(BG123)),"",COUNT(BG4:BG123))</f>
        <v/>
      </c>
      <c r="BE123" s="7" t="e">
        <f t="shared" si="81"/>
        <v>#VALUE!</v>
      </c>
      <c r="BF123" s="1" t="str">
        <f>IF(ISERROR(INDEX(C4:C8,MATCH(J123,D4:D8,0))),"",INDEX(C4:C8,MATCH(J123,D4:D8,0)))</f>
        <v/>
      </c>
      <c r="BG123" s="79" t="e">
        <f>IF(IF(COUNTIF(BG4:BG122,BG118)&gt;=MAX(D4:D8),BG118+5,BG118)&gt;50,"",IF(COUNTIF(BG4:BG122,BG118)&gt;=MAX(D4:D8),BG118+5,BG118))</f>
        <v>#VALUE!</v>
      </c>
      <c r="BH123" s="76" t="e">
        <f>IF(BG123="","",VLOOKUP(BG123,S4:U53,3,0))</f>
        <v>#VALUE!</v>
      </c>
      <c r="BI123" s="8" t="str">
        <f t="shared" si="82"/>
        <v/>
      </c>
      <c r="BP123" s="71" t="e">
        <f>IF(BT123="","",BT123*10+5)</f>
        <v>#VALUE!</v>
      </c>
      <c r="BQ123" s="71" t="str">
        <f>IF(OR(COUNTBLANK(BT123)=1,ISERROR(BT123)),"",COUNT(BT4:BT123))</f>
        <v/>
      </c>
      <c r="BR123" s="7" t="e">
        <f t="shared" si="84"/>
        <v>#VALUE!</v>
      </c>
      <c r="BS123" s="1" t="str">
        <f t="shared" si="85"/>
        <v/>
      </c>
      <c r="BT123" s="79" t="e">
        <f>IF(IF(COUNTIF($BT$4:BT122,BT122)&gt;=MAX($D$4:$D$8),BT122+1,BT122)&gt;55,"",IF(COUNTIF($BT$4:BT122,BT122)&gt;=MAX($D$4:$D$8),BT122+1,BT122))</f>
        <v>#VALUE!</v>
      </c>
      <c r="BU123" s="1" t="e">
        <f t="shared" si="86"/>
        <v>#VALUE!</v>
      </c>
      <c r="BV123" s="8" t="str">
        <f t="shared" si="87"/>
        <v/>
      </c>
      <c r="BX123" s="71" t="e">
        <f t="shared" si="88"/>
        <v>#VALUE!</v>
      </c>
      <c r="BY123" s="71" t="str">
        <f>IF(OR(COUNTBLANK(CB123)=1,ISERROR(CB123)),"",COUNT($CB$4:CB123))</f>
        <v/>
      </c>
      <c r="BZ123" s="7" t="e">
        <f t="shared" si="89"/>
        <v>#VALUE!</v>
      </c>
      <c r="CA123" s="1" t="str">
        <f t="shared" si="90"/>
        <v/>
      </c>
      <c r="CB123" s="79" t="e">
        <f>IF(IF(COUNTIF($CB$4:CB122,CB121)&gt;=MAX($D$4:$D$8),CB121+2,CB121)&gt;55,"",IF(COUNTIF($CB$4:CB122,CB121)&gt;=MAX($D$4:$D$8),CB121+2,CB121))</f>
        <v>#VALUE!</v>
      </c>
      <c r="CC123" s="1" t="e">
        <f t="shared" si="91"/>
        <v>#VALUE!</v>
      </c>
      <c r="CD123" s="8" t="str">
        <f t="shared" si="92"/>
        <v/>
      </c>
      <c r="CF123" s="71" t="e">
        <f t="shared" si="105"/>
        <v>#VALUE!</v>
      </c>
      <c r="CG123" s="71" t="str">
        <f>IF(OR(COUNTBLANK(CJ123)=1,ISERROR(CJ123)),"",COUNT($CJ$4:CJ123))</f>
        <v/>
      </c>
      <c r="CH123" s="7" t="e">
        <f t="shared" si="106"/>
        <v>#VALUE!</v>
      </c>
      <c r="CI123" s="1" t="str">
        <f t="shared" si="107"/>
        <v/>
      </c>
      <c r="CJ123" s="79" t="e">
        <f>IF(IF(COUNTIF($CJ$4:CJ122,CJ120)&gt;=MAX($D$4:$D$8),CJ120+3,CJ120)&gt;55,"",IF(COUNTIF($CJ$4:CJ122,CJ120)&gt;=MAX($D$4:$D$8),CJ120+3,CJ120))</f>
        <v>#VALUE!</v>
      </c>
      <c r="CK123" s="1" t="e">
        <f t="shared" si="93"/>
        <v>#VALUE!</v>
      </c>
      <c r="CL123" s="8" t="str">
        <f t="shared" si="108"/>
        <v/>
      </c>
      <c r="CN123" s="71" t="e">
        <f t="shared" si="99"/>
        <v>#VALUE!</v>
      </c>
      <c r="CO123" s="71" t="str">
        <f>IF(OR(COUNTBLANK(CR123)=1,ISERROR(CR123)),"",COUNT($CR$4:CR123))</f>
        <v/>
      </c>
      <c r="CP123" s="7" t="e">
        <f t="shared" si="100"/>
        <v>#VALUE!</v>
      </c>
      <c r="CQ123" s="1" t="str">
        <f t="shared" si="101"/>
        <v/>
      </c>
      <c r="CR123" s="79" t="e">
        <f>IF(IF(COUNTIF($CR$4:CR122,CR119)&gt;=MAX($D$4:$D$8),CR119+4,CR119)&gt;55,"",IF(COUNTIF($CR$4:CR122,CR119)&gt;=MAX($D$4:$D$8),CR119+4,CR119))</f>
        <v>#VALUE!</v>
      </c>
      <c r="CS123" s="1" t="e">
        <f t="shared" si="94"/>
        <v>#VALUE!</v>
      </c>
      <c r="CT123" s="8" t="str">
        <f t="shared" si="102"/>
        <v/>
      </c>
      <c r="CV123" s="71" t="e">
        <f t="shared" si="109"/>
        <v>#VALUE!</v>
      </c>
      <c r="CW123" s="71" t="str">
        <f>IF(OR(COUNTBLANK(CZ123)=1,ISERROR(CZ123)),"",COUNT($CZ$4:CZ123))</f>
        <v/>
      </c>
      <c r="CX123" s="7" t="e">
        <f t="shared" si="110"/>
        <v>#VALUE!</v>
      </c>
      <c r="CY123" s="1" t="str">
        <f t="shared" si="111"/>
        <v/>
      </c>
      <c r="CZ123" s="79" t="e">
        <f>IF(IF(COUNTIF($CZ$4:CZ122,CZ118)&gt;=MAX($D$4:$D$8),CZ118+5,CZ118)&gt;55,"",IF(COUNTIF($CZ$4:CZ122,CZ118)&gt;=MAX($D$4:$D$8),CZ118+5,CZ118))</f>
        <v>#VALUE!</v>
      </c>
      <c r="DA123" s="1" t="e">
        <f t="shared" si="95"/>
        <v>#VALUE!</v>
      </c>
      <c r="DB123" s="8" t="str">
        <f t="shared" si="112"/>
        <v/>
      </c>
    </row>
    <row r="124" spans="5:106" x14ac:dyDescent="0.15">
      <c r="E124" s="1">
        <v>121</v>
      </c>
      <c r="F124" s="1">
        <f t="shared" si="96"/>
        <v>1</v>
      </c>
      <c r="G124" s="1">
        <f t="shared" si="103"/>
        <v>1</v>
      </c>
      <c r="H124" s="1">
        <f t="shared" si="97"/>
        <v>1</v>
      </c>
      <c r="I124" s="1">
        <f t="shared" si="98"/>
        <v>1</v>
      </c>
      <c r="J124" s="1">
        <f t="shared" si="104"/>
        <v>1</v>
      </c>
      <c r="L124" s="1" t="str">
        <f>IF(ISERROR(HLOOKUP($C$10,$F$3:$J$253,122,0)),"",HLOOKUP($C$10,$F$3:$J$253,122,0))</f>
        <v/>
      </c>
      <c r="N124" s="67"/>
      <c r="W124" s="71" t="e">
        <f>IF(AA124="","",AA124*10+1)</f>
        <v>#VALUE!</v>
      </c>
      <c r="X124" s="71" t="str">
        <f>IF(OR(COUNTBLANK(AA124)=1,ISERROR(AA124)),"",COUNT(AA4:AA124))</f>
        <v/>
      </c>
      <c r="Y124" s="7" t="e">
        <f t="shared" si="69"/>
        <v>#VALUE!</v>
      </c>
      <c r="Z124" s="1" t="str">
        <f t="shared" si="83"/>
        <v/>
      </c>
      <c r="AA124" s="79" t="e">
        <f>IF(IF(COUNTIF(AA4:AA123,AA123)&gt;=MAX(D4:D8),AA123+1,AA123)&gt;50,"",IF(COUNTIF(AA4:AA123,AA123)&gt;=MAX(D4:D8),AA123+1,AA123))</f>
        <v>#VALUE!</v>
      </c>
      <c r="AB124" s="1" t="e">
        <f>IF(AA124="","",VLOOKUP(AA124,S4:U53,3,0))</f>
        <v>#VALUE!</v>
      </c>
      <c r="AC124" s="8" t="str">
        <f t="shared" si="70"/>
        <v/>
      </c>
      <c r="AE124" s="71" t="e">
        <f t="shared" si="71"/>
        <v>#VALUE!</v>
      </c>
      <c r="AF124" s="71" t="str">
        <f>IF(OR(COUNTBLANK(AI124)=1,ISERROR(AI124)),"",COUNT(AI4:AI124))</f>
        <v/>
      </c>
      <c r="AG124" s="7" t="e">
        <f t="shared" si="72"/>
        <v>#VALUE!</v>
      </c>
      <c r="AH124" s="1" t="str">
        <f>IF(ISERROR(INDEX(C4:C8,MATCH(G124,D4:D8,0))),"",INDEX(C4:C8,MATCH(G124,D4:D8,0)))</f>
        <v/>
      </c>
      <c r="AI124" s="79" t="e">
        <f>IF(IF(COUNTIF(AI4:AI123,AI122)&gt;=MAX(D4:D8),AI122+2,AI122)&gt;50,"",IF(COUNTIF(AI4:AI123,AI122)&gt;=MAX(D4:D8),AI122+2,AI122))</f>
        <v>#VALUE!</v>
      </c>
      <c r="AJ124" s="1" t="e">
        <f>IF(AI124="","",VLOOKUP(AI124,S4:U53,3,0))</f>
        <v>#VALUE!</v>
      </c>
      <c r="AK124" s="8" t="str">
        <f t="shared" si="73"/>
        <v/>
      </c>
      <c r="AM124" s="71" t="e">
        <f t="shared" si="74"/>
        <v>#VALUE!</v>
      </c>
      <c r="AN124" s="71" t="str">
        <f>IF(OR(COUNTBLANK(AQ124)=1,ISERROR(AQ124)),"",COUNT(AQ4:AQ124))</f>
        <v/>
      </c>
      <c r="AO124" s="7" t="e">
        <f t="shared" si="75"/>
        <v>#VALUE!</v>
      </c>
      <c r="AP124" s="1" t="str">
        <f>IF(ISERROR(INDEX(C4:C8,MATCH(H124,D4:D8,0))),"",INDEX(C4:C8,MATCH(H124,D4:D8,0)))</f>
        <v/>
      </c>
      <c r="AQ124" s="79" t="e">
        <f>IF(IF(COUNTIF(AQ4:AQ123,AQ121)&gt;=MAX(D4:D8),AQ121+3,AQ121)&gt;50,"",IF(COUNTIF(AQ4:AQ123,AQ121)&gt;=MAX(D4:D8),AQ121+3,AQ121))</f>
        <v>#VALUE!</v>
      </c>
      <c r="AR124" s="1" t="e">
        <f>IF(AQ124="","",VLOOKUP(AQ124,S4:U53,3,0))</f>
        <v>#VALUE!</v>
      </c>
      <c r="AS124" s="8" t="str">
        <f t="shared" si="76"/>
        <v/>
      </c>
      <c r="AU124" s="71" t="e">
        <f t="shared" si="77"/>
        <v>#VALUE!</v>
      </c>
      <c r="AV124" s="71" t="str">
        <f>IF(OR(COUNTBLANK(AY124)=1,ISERROR(AY124)),"",COUNT(AY4:AY124))</f>
        <v/>
      </c>
      <c r="AW124" s="7" t="e">
        <f t="shared" si="78"/>
        <v>#VALUE!</v>
      </c>
      <c r="AX124" s="1" t="str">
        <f>IF(ISERROR(INDEX(C4:C8,MATCH(I124,D4:D8,0))),"",INDEX(C4:C8,MATCH(I124,D4:D8,0)))</f>
        <v/>
      </c>
      <c r="AY124" s="79" t="e">
        <f>IF(IF(COUNTIF(AY4:AY123,AY120)&gt;=MAX(D4:D8),AY120+4,AY120)&gt;50,"",IF(COUNTIF(AY4:AY123,AY120)&gt;=MAX(D4:D8),AY120+4,AY120))</f>
        <v>#VALUE!</v>
      </c>
      <c r="AZ124" s="76" t="e">
        <f>IF(AY124="","",VLOOKUP(AY124,S4:U53,3,0))</f>
        <v>#VALUE!</v>
      </c>
      <c r="BA124" s="8" t="str">
        <f t="shared" si="79"/>
        <v/>
      </c>
      <c r="BC124" s="71" t="e">
        <f t="shared" si="80"/>
        <v>#VALUE!</v>
      </c>
      <c r="BD124" s="71" t="str">
        <f>IF(OR(COUNTBLANK(BG124)=1,ISERROR(BG124)),"",COUNT(BG4:BG124))</f>
        <v/>
      </c>
      <c r="BE124" s="7" t="e">
        <f t="shared" si="81"/>
        <v>#VALUE!</v>
      </c>
      <c r="BF124" s="1" t="str">
        <f>IF(ISERROR(INDEX(C4:C8,MATCH(J124,D4:D8,0))),"",INDEX(C4:C8,MATCH(J124,D4:D8,0)))</f>
        <v/>
      </c>
      <c r="BG124" s="79" t="e">
        <f>IF(IF(COUNTIF(BG4:BG123,BG119)&gt;=MAX(D4:D8),BG119+5,BG119)&gt;50,"",IF(COUNTIF(BG4:BG123,BG119)&gt;=MAX(D4:D8),BG119+5,BG119))</f>
        <v>#VALUE!</v>
      </c>
      <c r="BH124" s="76" t="e">
        <f>IF(BG124="","",VLOOKUP(BG124,S4:U53,3,0))</f>
        <v>#VALUE!</v>
      </c>
      <c r="BI124" s="8" t="str">
        <f t="shared" si="82"/>
        <v/>
      </c>
      <c r="BP124" s="71" t="e">
        <f>IF(BT124="","",BT124*10+1)</f>
        <v>#VALUE!</v>
      </c>
      <c r="BQ124" s="71" t="str">
        <f>IF(OR(COUNTBLANK(BT124)=1,ISERROR(BT124)),"",COUNT(BT4:BT124))</f>
        <v/>
      </c>
      <c r="BR124" s="7" t="e">
        <f t="shared" si="84"/>
        <v>#VALUE!</v>
      </c>
      <c r="BS124" s="1" t="str">
        <f t="shared" si="85"/>
        <v/>
      </c>
      <c r="BT124" s="79" t="e">
        <f>IF(IF(COUNTIF($BT$4:BT123,BT123)&gt;=MAX($D$4:$D$8),BT123+1,BT123)&gt;55,"",IF(COUNTIF($BT$4:BT123,BT123)&gt;=MAX($D$4:$D$8),BT123+1,BT123))</f>
        <v>#VALUE!</v>
      </c>
      <c r="BU124" s="1" t="e">
        <f t="shared" si="86"/>
        <v>#VALUE!</v>
      </c>
      <c r="BV124" s="8" t="str">
        <f t="shared" si="87"/>
        <v/>
      </c>
      <c r="BX124" s="71" t="e">
        <f t="shared" si="88"/>
        <v>#VALUE!</v>
      </c>
      <c r="BY124" s="71" t="str">
        <f>IF(OR(COUNTBLANK(CB124)=1,ISERROR(CB124)),"",COUNT($CB$4:CB124))</f>
        <v/>
      </c>
      <c r="BZ124" s="7" t="e">
        <f t="shared" si="89"/>
        <v>#VALUE!</v>
      </c>
      <c r="CA124" s="1" t="str">
        <f t="shared" si="90"/>
        <v/>
      </c>
      <c r="CB124" s="79" t="e">
        <f>IF(IF(COUNTIF($CB$4:CB123,CB122)&gt;=MAX($D$4:$D$8),CB122+2,CB122)&gt;55,"",IF(COUNTIF($CB$4:CB123,CB122)&gt;=MAX($D$4:$D$8),CB122+2,CB122))</f>
        <v>#VALUE!</v>
      </c>
      <c r="CC124" s="1" t="e">
        <f t="shared" si="91"/>
        <v>#VALUE!</v>
      </c>
      <c r="CD124" s="8" t="str">
        <f t="shared" si="92"/>
        <v/>
      </c>
      <c r="CF124" s="71" t="e">
        <f t="shared" si="105"/>
        <v>#VALUE!</v>
      </c>
      <c r="CG124" s="71" t="str">
        <f>IF(OR(COUNTBLANK(CJ124)=1,ISERROR(CJ124)),"",COUNT($CJ$4:CJ124))</f>
        <v/>
      </c>
      <c r="CH124" s="7" t="e">
        <f t="shared" si="106"/>
        <v>#VALUE!</v>
      </c>
      <c r="CI124" s="1" t="str">
        <f t="shared" si="107"/>
        <v/>
      </c>
      <c r="CJ124" s="79" t="e">
        <f>IF(IF(COUNTIF($CJ$4:CJ123,CJ121)&gt;=MAX($D$4:$D$8),CJ121+3,CJ121)&gt;55,"",IF(COUNTIF($CJ$4:CJ123,CJ121)&gt;=MAX($D$4:$D$8),CJ121+3,CJ121))</f>
        <v>#VALUE!</v>
      </c>
      <c r="CK124" s="1" t="e">
        <f t="shared" si="93"/>
        <v>#VALUE!</v>
      </c>
      <c r="CL124" s="8" t="str">
        <f t="shared" si="108"/>
        <v/>
      </c>
      <c r="CN124" s="71" t="e">
        <f t="shared" si="99"/>
        <v>#VALUE!</v>
      </c>
      <c r="CO124" s="71" t="str">
        <f>IF(OR(COUNTBLANK(CR124)=1,ISERROR(CR124)),"",COUNT($CR$4:CR124))</f>
        <v/>
      </c>
      <c r="CP124" s="7" t="e">
        <f t="shared" si="100"/>
        <v>#VALUE!</v>
      </c>
      <c r="CQ124" s="1" t="str">
        <f t="shared" si="101"/>
        <v/>
      </c>
      <c r="CR124" s="79" t="e">
        <f>IF(IF(COUNTIF($CR$4:CR123,CR120)&gt;=MAX($D$4:$D$8),CR120+4,CR120)&gt;55,"",IF(COUNTIF($CR$4:CR123,CR120)&gt;=MAX($D$4:$D$8),CR120+4,CR120))</f>
        <v>#VALUE!</v>
      </c>
      <c r="CS124" s="1" t="e">
        <f t="shared" si="94"/>
        <v>#VALUE!</v>
      </c>
      <c r="CT124" s="8" t="str">
        <f t="shared" si="102"/>
        <v/>
      </c>
      <c r="CV124" s="71" t="e">
        <f t="shared" si="109"/>
        <v>#VALUE!</v>
      </c>
      <c r="CW124" s="71" t="str">
        <f>IF(OR(COUNTBLANK(CZ124)=1,ISERROR(CZ124)),"",COUNT($CZ$4:CZ124))</f>
        <v/>
      </c>
      <c r="CX124" s="7" t="e">
        <f t="shared" si="110"/>
        <v>#VALUE!</v>
      </c>
      <c r="CY124" s="1" t="str">
        <f t="shared" si="111"/>
        <v/>
      </c>
      <c r="CZ124" s="79" t="e">
        <f>IF(IF(COUNTIF($CZ$4:CZ123,CZ119)&gt;=MAX($D$4:$D$8),CZ119+5,CZ119)&gt;55,"",IF(COUNTIF($CZ$4:CZ123,CZ119)&gt;=MAX($D$4:$D$8),CZ119+5,CZ119))</f>
        <v>#VALUE!</v>
      </c>
      <c r="DA124" s="1" t="e">
        <f t="shared" si="95"/>
        <v>#VALUE!</v>
      </c>
      <c r="DB124" s="8" t="str">
        <f t="shared" si="112"/>
        <v/>
      </c>
    </row>
    <row r="125" spans="5:106" x14ac:dyDescent="0.15">
      <c r="E125" s="1">
        <v>122</v>
      </c>
      <c r="F125" s="1">
        <f t="shared" si="96"/>
        <v>1</v>
      </c>
      <c r="G125" s="1">
        <f t="shared" si="103"/>
        <v>1</v>
      </c>
      <c r="H125" s="1">
        <f t="shared" si="97"/>
        <v>1</v>
      </c>
      <c r="I125" s="1">
        <f t="shared" si="98"/>
        <v>1</v>
      </c>
      <c r="J125" s="1">
        <f t="shared" si="104"/>
        <v>1</v>
      </c>
      <c r="L125" s="1" t="str">
        <f>IF(ISERROR(HLOOKUP($C$10,$F$3:$J$253,123,0)),"",HLOOKUP($C$10,$F$3:$J$253,123,0))</f>
        <v/>
      </c>
      <c r="N125" s="67"/>
      <c r="W125" s="71" t="e">
        <f>IF(AA125="","",AA125*10+2)</f>
        <v>#VALUE!</v>
      </c>
      <c r="X125" s="71" t="str">
        <f>IF(OR(COUNTBLANK(AA125)=1,ISERROR(AA125)),"",COUNT(AA4:AA125))</f>
        <v/>
      </c>
      <c r="Y125" s="7" t="e">
        <f t="shared" si="69"/>
        <v>#VALUE!</v>
      </c>
      <c r="Z125" s="1" t="str">
        <f t="shared" si="83"/>
        <v/>
      </c>
      <c r="AA125" s="79" t="e">
        <f>IF(IF(COUNTIF(AA4:AA124,AA124)&gt;=MAX(D4:D8),AA124+1,AA124)&gt;50,"",IF(COUNTIF(AA4:AA124,AA124)&gt;=MAX(D4:D8),AA124+1,AA124))</f>
        <v>#VALUE!</v>
      </c>
      <c r="AB125" s="1" t="e">
        <f>IF(AA125="","",VLOOKUP(AA125,S4:U53,3,0))</f>
        <v>#VALUE!</v>
      </c>
      <c r="AC125" s="8" t="str">
        <f t="shared" si="70"/>
        <v/>
      </c>
      <c r="AE125" s="71" t="e">
        <f t="shared" si="71"/>
        <v>#VALUE!</v>
      </c>
      <c r="AF125" s="71" t="str">
        <f>IF(OR(COUNTBLANK(AI125)=1,ISERROR(AI125)),"",COUNT(AI4:AI125))</f>
        <v/>
      </c>
      <c r="AG125" s="7" t="e">
        <f t="shared" si="72"/>
        <v>#VALUE!</v>
      </c>
      <c r="AH125" s="1" t="str">
        <f>IF(ISERROR(INDEX(C4:C8,MATCH(G125,D4:D8,0))),"",INDEX(C4:C8,MATCH(G125,D4:D8,0)))</f>
        <v/>
      </c>
      <c r="AI125" s="79" t="e">
        <f>IF(IF(COUNTIF(AI4:AI123,AI123)&gt;=MAX(D4:D8),AI123+2,AI123)&gt;50,"",IF(COUNTIF(AI4:AI123,AI123)&gt;=MAX(D4:D8),AI123+2,AI123))</f>
        <v>#VALUE!</v>
      </c>
      <c r="AJ125" s="1" t="e">
        <f>IF(AI125="","",VLOOKUP(AI125,S4:U53,3,0))</f>
        <v>#VALUE!</v>
      </c>
      <c r="AK125" s="8" t="str">
        <f t="shared" si="73"/>
        <v/>
      </c>
      <c r="AM125" s="71" t="e">
        <f t="shared" si="74"/>
        <v>#VALUE!</v>
      </c>
      <c r="AN125" s="71" t="str">
        <f>IF(OR(COUNTBLANK(AQ125)=1,ISERROR(AQ125)),"",COUNT(AQ4:AQ125))</f>
        <v/>
      </c>
      <c r="AO125" s="7" t="e">
        <f t="shared" si="75"/>
        <v>#VALUE!</v>
      </c>
      <c r="AP125" s="1" t="str">
        <f>IF(ISERROR(INDEX(C4:C8,MATCH(H125,D4:D8,0))),"",INDEX(C4:C8,MATCH(H125,D4:D8,0)))</f>
        <v/>
      </c>
      <c r="AQ125" s="79" t="e">
        <f>IF(IF(COUNTIF(AQ4:AQ124,AQ122)&gt;=MAX(D4:D8),AQ122+3,AQ122)&gt;50,"",IF(COUNTIF(AQ4:AQ124,AQ122)&gt;=MAX(D4:D8),AQ122+3,AQ122))</f>
        <v>#VALUE!</v>
      </c>
      <c r="AR125" s="1" t="e">
        <f>IF(AQ125="","",VLOOKUP(AQ125,S4:U53,3,0))</f>
        <v>#VALUE!</v>
      </c>
      <c r="AS125" s="8" t="str">
        <f t="shared" si="76"/>
        <v/>
      </c>
      <c r="AU125" s="71" t="e">
        <f t="shared" si="77"/>
        <v>#VALUE!</v>
      </c>
      <c r="AV125" s="71" t="str">
        <f>IF(OR(COUNTBLANK(AY125)=1,ISERROR(AY125)),"",COUNT(AY4:AY125))</f>
        <v/>
      </c>
      <c r="AW125" s="7" t="e">
        <f t="shared" si="78"/>
        <v>#VALUE!</v>
      </c>
      <c r="AX125" s="1" t="str">
        <f>IF(ISERROR(INDEX(C4:C8,MATCH(I125,D4:D8,0))),"",INDEX(C4:C8,MATCH(I125,D4:D8,0)))</f>
        <v/>
      </c>
      <c r="AY125" s="79" t="e">
        <f>IF(IF(COUNTIF(AY4:AY124,AY121)&gt;=MAX(D4:D8),AY121+4,AY121)&gt;50,"",IF(COUNTIF(AY4:AY124,AY121)&gt;=MAX(D4:D8),AY121+4,AY121))</f>
        <v>#VALUE!</v>
      </c>
      <c r="AZ125" s="76" t="e">
        <f>IF(AY125="","",VLOOKUP(AY125,S4:U53,3,0))</f>
        <v>#VALUE!</v>
      </c>
      <c r="BA125" s="8" t="str">
        <f t="shared" si="79"/>
        <v/>
      </c>
      <c r="BC125" s="71" t="e">
        <f t="shared" si="80"/>
        <v>#VALUE!</v>
      </c>
      <c r="BD125" s="71" t="str">
        <f>IF(OR(COUNTBLANK(BG125)=1,ISERROR(BG125)),"",COUNT(BG4:BG125))</f>
        <v/>
      </c>
      <c r="BE125" s="7" t="e">
        <f t="shared" si="81"/>
        <v>#VALUE!</v>
      </c>
      <c r="BF125" s="1" t="str">
        <f>IF(ISERROR(INDEX(C4:C8,MATCH(J125,D4:D8,0))),"",INDEX(C4:C8,MATCH(J125,D4:D8,0)))</f>
        <v/>
      </c>
      <c r="BG125" s="79" t="e">
        <f>IF(IF(COUNTIF(BG4:BG124,BG120)&gt;=MAX(D4:D8),BG120+5,BG120)&gt;50,"",IF(COUNTIF(BG4:BG124,BG120)&gt;=MAX(D4:D8),BG120+5,BG120))</f>
        <v>#VALUE!</v>
      </c>
      <c r="BH125" s="76" t="e">
        <f>IF(BG125="","",VLOOKUP(BG125,S4:U53,3,0))</f>
        <v>#VALUE!</v>
      </c>
      <c r="BI125" s="8" t="str">
        <f t="shared" si="82"/>
        <v/>
      </c>
      <c r="BP125" s="71" t="e">
        <f>IF(BT125="","",BT125*10+2)</f>
        <v>#VALUE!</v>
      </c>
      <c r="BQ125" s="71" t="str">
        <f>IF(OR(COUNTBLANK(BT125)=1,ISERROR(BT125)),"",COUNT(BT4:BT125))</f>
        <v/>
      </c>
      <c r="BR125" s="7" t="e">
        <f t="shared" si="84"/>
        <v>#VALUE!</v>
      </c>
      <c r="BS125" s="1" t="str">
        <f t="shared" si="85"/>
        <v/>
      </c>
      <c r="BT125" s="79" t="e">
        <f>IF(IF(COUNTIF($BT$4:BT124,BT124)&gt;=MAX($D$4:$D$8),BT124+1,BT124)&gt;55,"",IF(COUNTIF($BT$4:BT124,BT124)&gt;=MAX($D$4:$D$8),BT124+1,BT124))</f>
        <v>#VALUE!</v>
      </c>
      <c r="BU125" s="1" t="e">
        <f t="shared" si="86"/>
        <v>#VALUE!</v>
      </c>
      <c r="BV125" s="8" t="str">
        <f t="shared" si="87"/>
        <v/>
      </c>
      <c r="BX125" s="71" t="e">
        <f t="shared" si="88"/>
        <v>#VALUE!</v>
      </c>
      <c r="BY125" s="71" t="str">
        <f>IF(OR(COUNTBLANK(CB125)=1,ISERROR(CB125)),"",COUNT($CB$4:CB125))</f>
        <v/>
      </c>
      <c r="BZ125" s="7" t="e">
        <f t="shared" si="89"/>
        <v>#VALUE!</v>
      </c>
      <c r="CA125" s="1" t="str">
        <f t="shared" si="90"/>
        <v/>
      </c>
      <c r="CB125" s="79" t="e">
        <f>IF(IF(COUNTIF($CB$4:CB124,CB123)&gt;=MAX($D$4:$D$8),CB123+2,CB123)&gt;55,"",IF(COUNTIF($CB$4:CB124,CB123)&gt;=MAX($D$4:$D$8),CB123+2,CB123))</f>
        <v>#VALUE!</v>
      </c>
      <c r="CC125" s="1" t="e">
        <f t="shared" si="91"/>
        <v>#VALUE!</v>
      </c>
      <c r="CD125" s="8" t="str">
        <f t="shared" si="92"/>
        <v/>
      </c>
      <c r="CF125" s="71" t="e">
        <f t="shared" si="105"/>
        <v>#VALUE!</v>
      </c>
      <c r="CG125" s="71" t="str">
        <f>IF(OR(COUNTBLANK(CJ125)=1,ISERROR(CJ125)),"",COUNT($CJ$4:CJ125))</f>
        <v/>
      </c>
      <c r="CH125" s="7" t="e">
        <f t="shared" si="106"/>
        <v>#VALUE!</v>
      </c>
      <c r="CI125" s="1" t="str">
        <f t="shared" si="107"/>
        <v/>
      </c>
      <c r="CJ125" s="79" t="e">
        <f>IF(IF(COUNTIF($CJ$4:CJ124,CJ122)&gt;=MAX($D$4:$D$8),CJ122+3,CJ122)&gt;55,"",IF(COUNTIF($CJ$4:CJ124,CJ122)&gt;=MAX($D$4:$D$8),CJ122+3,CJ122))</f>
        <v>#VALUE!</v>
      </c>
      <c r="CK125" s="1" t="e">
        <f t="shared" si="93"/>
        <v>#VALUE!</v>
      </c>
      <c r="CL125" s="8" t="str">
        <f t="shared" si="108"/>
        <v/>
      </c>
      <c r="CN125" s="71" t="e">
        <f t="shared" si="99"/>
        <v>#VALUE!</v>
      </c>
      <c r="CO125" s="71" t="str">
        <f>IF(OR(COUNTBLANK(CR125)=1,ISERROR(CR125)),"",COUNT($CR$4:CR125))</f>
        <v/>
      </c>
      <c r="CP125" s="7" t="e">
        <f t="shared" si="100"/>
        <v>#VALUE!</v>
      </c>
      <c r="CQ125" s="1" t="str">
        <f t="shared" si="101"/>
        <v/>
      </c>
      <c r="CR125" s="79" t="e">
        <f>IF(IF(COUNTIF($CR$4:CR124,CR121)&gt;=MAX($D$4:$D$8),CR121+4,CR121)&gt;55,"",IF(COUNTIF($CR$4:CR124,CR121)&gt;=MAX($D$4:$D$8),CR121+4,CR121))</f>
        <v>#VALUE!</v>
      </c>
      <c r="CS125" s="1" t="e">
        <f t="shared" si="94"/>
        <v>#VALUE!</v>
      </c>
      <c r="CT125" s="8" t="str">
        <f t="shared" si="102"/>
        <v/>
      </c>
      <c r="CV125" s="71" t="e">
        <f t="shared" si="109"/>
        <v>#VALUE!</v>
      </c>
      <c r="CW125" s="71" t="str">
        <f>IF(OR(COUNTBLANK(CZ125)=1,ISERROR(CZ125)),"",COUNT($CZ$4:CZ125))</f>
        <v/>
      </c>
      <c r="CX125" s="7" t="e">
        <f t="shared" si="110"/>
        <v>#VALUE!</v>
      </c>
      <c r="CY125" s="1" t="str">
        <f t="shared" si="111"/>
        <v/>
      </c>
      <c r="CZ125" s="79" t="e">
        <f>IF(IF(COUNTIF($CZ$4:CZ124,CZ120)&gt;=MAX($D$4:$D$8),CZ120+5,CZ120)&gt;55,"",IF(COUNTIF($CZ$4:CZ124,CZ120)&gt;=MAX($D$4:$D$8),CZ120+5,CZ120))</f>
        <v>#VALUE!</v>
      </c>
      <c r="DA125" s="1" t="e">
        <f t="shared" si="95"/>
        <v>#VALUE!</v>
      </c>
      <c r="DB125" s="8" t="str">
        <f t="shared" si="112"/>
        <v/>
      </c>
    </row>
    <row r="126" spans="5:106" x14ac:dyDescent="0.15">
      <c r="E126" s="1">
        <v>123</v>
      </c>
      <c r="F126" s="1">
        <f t="shared" si="96"/>
        <v>1</v>
      </c>
      <c r="G126" s="1">
        <f t="shared" si="103"/>
        <v>1</v>
      </c>
      <c r="H126" s="1">
        <f t="shared" si="97"/>
        <v>1</v>
      </c>
      <c r="I126" s="1">
        <f t="shared" si="98"/>
        <v>1</v>
      </c>
      <c r="J126" s="1">
        <f t="shared" si="104"/>
        <v>1</v>
      </c>
      <c r="L126" s="1" t="str">
        <f>IF(ISERROR(HLOOKUP($C$10,$F$3:$J$253,124,0)),"",HLOOKUP($C$10,$F$3:$J$253,124,0))</f>
        <v/>
      </c>
      <c r="N126" s="67"/>
      <c r="W126" s="71" t="e">
        <f>IF(AA126="","",AA126*10+3)</f>
        <v>#VALUE!</v>
      </c>
      <c r="X126" s="71" t="str">
        <f>IF(OR(COUNTBLANK(AA126)=1,ISERROR(AA126)),"",COUNT(AA4:AA126))</f>
        <v/>
      </c>
      <c r="Y126" s="7" t="e">
        <f t="shared" si="69"/>
        <v>#VALUE!</v>
      </c>
      <c r="Z126" s="1" t="str">
        <f t="shared" si="83"/>
        <v/>
      </c>
      <c r="AA126" s="79" t="e">
        <f>IF(IF(COUNTIF(AA4:AA125,AA125)&gt;=MAX(D4:D8),AA125+1,AA125)&gt;50,"",IF(COUNTIF(AA4:AA125,AA125)&gt;=MAX(D4:D8),AA125+1,AA125))</f>
        <v>#VALUE!</v>
      </c>
      <c r="AB126" s="1" t="e">
        <f>IF(AA126="","",VLOOKUP(AA126,S4:U53,3,0))</f>
        <v>#VALUE!</v>
      </c>
      <c r="AC126" s="8" t="str">
        <f t="shared" si="70"/>
        <v/>
      </c>
      <c r="AE126" s="71" t="e">
        <f t="shared" si="71"/>
        <v>#VALUE!</v>
      </c>
      <c r="AF126" s="71" t="str">
        <f>IF(OR(COUNTBLANK(AI126)=1,ISERROR(AI126)),"",COUNT(AI4:AI126))</f>
        <v/>
      </c>
      <c r="AG126" s="7" t="e">
        <f t="shared" si="72"/>
        <v>#VALUE!</v>
      </c>
      <c r="AH126" s="1" t="str">
        <f>IF(ISERROR(INDEX(C4:C8,MATCH(G126,D4:D8,0))),"",INDEX(C4:C8,MATCH(G126,D4:D8,0)))</f>
        <v/>
      </c>
      <c r="AI126" s="79" t="e">
        <f>IF(IF(COUNTIF(AI4:AI125,AI124)&gt;=MAX(D4:D8),AI124+2,AI124)&gt;50,"",IF(COUNTIF(AI4:AI125,AI124)&gt;=MAX(D4:D8),AI124+2,AI124))</f>
        <v>#VALUE!</v>
      </c>
      <c r="AJ126" s="1" t="e">
        <f>IF(AI126="","",VLOOKUP(AI126,S4:U53,3,0))</f>
        <v>#VALUE!</v>
      </c>
      <c r="AK126" s="8" t="str">
        <f t="shared" si="73"/>
        <v/>
      </c>
      <c r="AM126" s="71" t="e">
        <f t="shared" si="74"/>
        <v>#VALUE!</v>
      </c>
      <c r="AN126" s="71" t="str">
        <f>IF(OR(COUNTBLANK(AQ126)=1,ISERROR(AQ126)),"",COUNT(AQ4:AQ126))</f>
        <v/>
      </c>
      <c r="AO126" s="7" t="e">
        <f t="shared" si="75"/>
        <v>#VALUE!</v>
      </c>
      <c r="AP126" s="1" t="str">
        <f>IF(ISERROR(INDEX(C4:C8,MATCH(H126,D4:D8,0))),"",INDEX(C4:C8,MATCH(H126,D4:D8,0)))</f>
        <v/>
      </c>
      <c r="AQ126" s="79" t="e">
        <f>IF(IF(COUNTIF(AQ4:AQ125,AQ123)&gt;=MAX(D4:D8),AQ123+3,AQ123)&gt;50,"",IF(COUNTIF(AQ4:AQ125,AQ123)&gt;=MAX(D4:D8),AQ123+3,AQ123))</f>
        <v>#VALUE!</v>
      </c>
      <c r="AR126" s="1" t="e">
        <f>IF(AQ126="","",VLOOKUP(AQ126,S4:U53,3,0))</f>
        <v>#VALUE!</v>
      </c>
      <c r="AS126" s="8" t="str">
        <f t="shared" si="76"/>
        <v/>
      </c>
      <c r="AU126" s="71" t="e">
        <f t="shared" si="77"/>
        <v>#VALUE!</v>
      </c>
      <c r="AV126" s="71" t="str">
        <f>IF(OR(COUNTBLANK(AY126)=1,ISERROR(AY126)),"",COUNT(AY4:AY126))</f>
        <v/>
      </c>
      <c r="AW126" s="7" t="e">
        <f t="shared" si="78"/>
        <v>#VALUE!</v>
      </c>
      <c r="AX126" s="1" t="str">
        <f>IF(ISERROR(INDEX(C4:C8,MATCH(I126,D4:D8,0))),"",INDEX(C4:C8,MATCH(I126,D4:D8,0)))</f>
        <v/>
      </c>
      <c r="AY126" s="79" t="e">
        <f>IF(IF(COUNTIF(AY4:AY125,AY122)&gt;=MAX(D4:D8),AY122+4,AY122)&gt;50,"",IF(COUNTIF(AY4:AY125,AY122)&gt;=MAX(D4:D8),AY122+4,AY122))</f>
        <v>#VALUE!</v>
      </c>
      <c r="AZ126" s="76" t="e">
        <f>IF(AY126="","",VLOOKUP(AY126,S4:U53,3,0))</f>
        <v>#VALUE!</v>
      </c>
      <c r="BA126" s="8" t="str">
        <f t="shared" si="79"/>
        <v/>
      </c>
      <c r="BC126" s="71" t="e">
        <f t="shared" si="80"/>
        <v>#VALUE!</v>
      </c>
      <c r="BD126" s="71" t="str">
        <f>IF(OR(COUNTBLANK(BG126)=1,ISERROR(BG126)),"",COUNT(BG4:BG126))</f>
        <v/>
      </c>
      <c r="BE126" s="7" t="e">
        <f t="shared" si="81"/>
        <v>#VALUE!</v>
      </c>
      <c r="BF126" s="1" t="str">
        <f>IF(ISERROR(INDEX(C4:C8,MATCH(J126,D4:D8,0))),"",INDEX(C4:C8,MATCH(J126,D4:D8,0)))</f>
        <v/>
      </c>
      <c r="BG126" s="79" t="e">
        <f>IF(IF(COUNTIF(BG4:BG125,BG121)&gt;=MAX(D4:D8),BG121+5,BG121)&gt;50,"",IF(COUNTIF(BG4:BG125,BG121)&gt;=MAX(D4:D8),BG121+5,BG121))</f>
        <v>#VALUE!</v>
      </c>
      <c r="BH126" s="76" t="e">
        <f>IF(BG126="","",VLOOKUP(BG126,S4:U53,3,0))</f>
        <v>#VALUE!</v>
      </c>
      <c r="BI126" s="8" t="str">
        <f t="shared" si="82"/>
        <v/>
      </c>
      <c r="BP126" s="71" t="e">
        <f>IF(BT126="","",BT126*10+3)</f>
        <v>#VALUE!</v>
      </c>
      <c r="BQ126" s="71" t="str">
        <f>IF(OR(COUNTBLANK(BT126)=1,ISERROR(BT126)),"",COUNT(BT4:BT126))</f>
        <v/>
      </c>
      <c r="BR126" s="7" t="e">
        <f t="shared" si="84"/>
        <v>#VALUE!</v>
      </c>
      <c r="BS126" s="1" t="str">
        <f t="shared" si="85"/>
        <v/>
      </c>
      <c r="BT126" s="79" t="e">
        <f>IF(IF(COUNTIF($BT$4:BT125,BT125)&gt;=MAX($D$4:$D$8),BT125+1,BT125)&gt;55,"",IF(COUNTIF($BT$4:BT125,BT125)&gt;=MAX($D$4:$D$8),BT125+1,BT125))</f>
        <v>#VALUE!</v>
      </c>
      <c r="BU126" s="1" t="e">
        <f t="shared" si="86"/>
        <v>#VALUE!</v>
      </c>
      <c r="BV126" s="8" t="str">
        <f t="shared" si="87"/>
        <v/>
      </c>
      <c r="BX126" s="71" t="e">
        <f t="shared" si="88"/>
        <v>#VALUE!</v>
      </c>
      <c r="BY126" s="71" t="str">
        <f>IF(OR(COUNTBLANK(CB126)=1,ISERROR(CB126)),"",COUNT($CB$4:CB126))</f>
        <v/>
      </c>
      <c r="BZ126" s="7" t="e">
        <f t="shared" si="89"/>
        <v>#VALUE!</v>
      </c>
      <c r="CA126" s="1" t="str">
        <f t="shared" si="90"/>
        <v/>
      </c>
      <c r="CB126" s="79" t="e">
        <f>IF(IF(COUNTIF($CB$4:CB125,CB124)&gt;=MAX($D$4:$D$8),CB124+2,CB124)&gt;55,"",IF(COUNTIF($CB$4:CB125,CB124)&gt;=MAX($D$4:$D$8),CB124+2,CB124))</f>
        <v>#VALUE!</v>
      </c>
      <c r="CC126" s="1" t="e">
        <f t="shared" si="91"/>
        <v>#VALUE!</v>
      </c>
      <c r="CD126" s="8" t="str">
        <f t="shared" si="92"/>
        <v/>
      </c>
      <c r="CF126" s="71" t="e">
        <f t="shared" si="105"/>
        <v>#VALUE!</v>
      </c>
      <c r="CG126" s="71" t="str">
        <f>IF(OR(COUNTBLANK(CJ126)=1,ISERROR(CJ126)),"",COUNT($CJ$4:CJ126))</f>
        <v/>
      </c>
      <c r="CH126" s="7" t="e">
        <f t="shared" si="106"/>
        <v>#VALUE!</v>
      </c>
      <c r="CI126" s="1" t="str">
        <f t="shared" si="107"/>
        <v/>
      </c>
      <c r="CJ126" s="79" t="e">
        <f>IF(IF(COUNTIF($CJ$4:CJ125,CJ123)&gt;=MAX($D$4:$D$8),CJ123+3,CJ123)&gt;55,"",IF(COUNTIF($CJ$4:CJ125,CJ123)&gt;=MAX($D$4:$D$8),CJ123+3,CJ123))</f>
        <v>#VALUE!</v>
      </c>
      <c r="CK126" s="1" t="e">
        <f t="shared" si="93"/>
        <v>#VALUE!</v>
      </c>
      <c r="CL126" s="8" t="str">
        <f t="shared" si="108"/>
        <v/>
      </c>
      <c r="CN126" s="71" t="e">
        <f t="shared" si="99"/>
        <v>#VALUE!</v>
      </c>
      <c r="CO126" s="71" t="str">
        <f>IF(OR(COUNTBLANK(CR126)=1,ISERROR(CR126)),"",COUNT($CR$4:CR126))</f>
        <v/>
      </c>
      <c r="CP126" s="7" t="e">
        <f t="shared" si="100"/>
        <v>#VALUE!</v>
      </c>
      <c r="CQ126" s="1" t="str">
        <f t="shared" si="101"/>
        <v/>
      </c>
      <c r="CR126" s="79" t="e">
        <f>IF(IF(COUNTIF($CR$4:CR125,CR122)&gt;=MAX($D$4:$D$8),CR122+4,CR122)&gt;55,"",IF(COUNTIF($CR$4:CR125,CR122)&gt;=MAX($D$4:$D$8),CR122+4,CR122))</f>
        <v>#VALUE!</v>
      </c>
      <c r="CS126" s="1" t="e">
        <f t="shared" si="94"/>
        <v>#VALUE!</v>
      </c>
      <c r="CT126" s="8" t="str">
        <f t="shared" si="102"/>
        <v/>
      </c>
      <c r="CV126" s="71" t="e">
        <f t="shared" si="109"/>
        <v>#VALUE!</v>
      </c>
      <c r="CW126" s="71" t="str">
        <f>IF(OR(COUNTBLANK(CZ126)=1,ISERROR(CZ126)),"",COUNT($CZ$4:CZ126))</f>
        <v/>
      </c>
      <c r="CX126" s="7" t="e">
        <f t="shared" si="110"/>
        <v>#VALUE!</v>
      </c>
      <c r="CY126" s="1" t="str">
        <f t="shared" si="111"/>
        <v/>
      </c>
      <c r="CZ126" s="79" t="e">
        <f>IF(IF(COUNTIF($CZ$4:CZ125,CZ121)&gt;=MAX($D$4:$D$8),CZ121+5,CZ121)&gt;55,"",IF(COUNTIF($CZ$4:CZ125,CZ121)&gt;=MAX($D$4:$D$8),CZ121+5,CZ121))</f>
        <v>#VALUE!</v>
      </c>
      <c r="DA126" s="1" t="e">
        <f t="shared" si="95"/>
        <v>#VALUE!</v>
      </c>
      <c r="DB126" s="8" t="str">
        <f t="shared" si="112"/>
        <v/>
      </c>
    </row>
    <row r="127" spans="5:106" x14ac:dyDescent="0.15">
      <c r="E127" s="1">
        <v>124</v>
      </c>
      <c r="F127" s="1">
        <f t="shared" si="96"/>
        <v>1</v>
      </c>
      <c r="G127" s="1">
        <f t="shared" si="103"/>
        <v>1</v>
      </c>
      <c r="H127" s="1">
        <f t="shared" si="97"/>
        <v>1</v>
      </c>
      <c r="I127" s="1">
        <f t="shared" si="98"/>
        <v>1</v>
      </c>
      <c r="J127" s="1">
        <f t="shared" si="104"/>
        <v>1</v>
      </c>
      <c r="L127" s="1" t="str">
        <f>IF(ISERROR(HLOOKUP($C$10,$F$3:$J$253,125,0)),"",HLOOKUP($C$10,$F$3:$J$253,125,0))</f>
        <v/>
      </c>
      <c r="N127" s="67"/>
      <c r="W127" s="71" t="e">
        <f>IF(AA127="","",AA127*10+4)</f>
        <v>#VALUE!</v>
      </c>
      <c r="X127" s="71" t="str">
        <f>IF(OR(COUNTBLANK(AA127)=1,ISERROR(AA127)),"",COUNT(AA4:AA127))</f>
        <v/>
      </c>
      <c r="Y127" s="7" t="e">
        <f t="shared" si="69"/>
        <v>#VALUE!</v>
      </c>
      <c r="Z127" s="1" t="str">
        <f t="shared" si="83"/>
        <v/>
      </c>
      <c r="AA127" s="79" t="e">
        <f>IF(IF(COUNTIF(AA4:AA126,AA126)&gt;=MAX(D4:D8),AA126+1,AA126)&gt;50,"",IF(COUNTIF(AA4:AA126,AA126)&gt;=MAX(D4:D8),AA126+1,AA126))</f>
        <v>#VALUE!</v>
      </c>
      <c r="AB127" s="1" t="e">
        <f>IF(AA127="","",VLOOKUP(AA127,S4:U53,3,0))</f>
        <v>#VALUE!</v>
      </c>
      <c r="AC127" s="8" t="str">
        <f t="shared" si="70"/>
        <v/>
      </c>
      <c r="AE127" s="71" t="e">
        <f t="shared" si="71"/>
        <v>#VALUE!</v>
      </c>
      <c r="AF127" s="71" t="str">
        <f>IF(OR(COUNTBLANK(AI127)=1,ISERROR(AI127)),"",COUNT(AI4:AI127))</f>
        <v/>
      </c>
      <c r="AG127" s="7" t="e">
        <f t="shared" si="72"/>
        <v>#VALUE!</v>
      </c>
      <c r="AH127" s="1" t="str">
        <f>IF(ISERROR(INDEX(C4:C8,MATCH(G127,D4:D8,0))),"",INDEX(C4:C8,MATCH(G127,D4:D8,0)))</f>
        <v/>
      </c>
      <c r="AI127" s="79" t="e">
        <f>IF(IF(COUNTIF(AI4:AI125,AI125)&gt;=MAX(D4:D8),AI125+2,AI125)&gt;50,"",IF(COUNTIF(AI4:AI125,AI125)&gt;=MAX(D4:D8),AI125+2,AI125))</f>
        <v>#VALUE!</v>
      </c>
      <c r="AJ127" s="1" t="e">
        <f>IF(AI127="","",VLOOKUP(AI127,S4:U53,3,0))</f>
        <v>#VALUE!</v>
      </c>
      <c r="AK127" s="8" t="str">
        <f t="shared" si="73"/>
        <v/>
      </c>
      <c r="AM127" s="71" t="e">
        <f t="shared" si="74"/>
        <v>#VALUE!</v>
      </c>
      <c r="AN127" s="71" t="str">
        <f>IF(OR(COUNTBLANK(AQ127)=1,ISERROR(AQ127)),"",COUNT(AQ4:AQ127))</f>
        <v/>
      </c>
      <c r="AO127" s="7" t="e">
        <f t="shared" si="75"/>
        <v>#VALUE!</v>
      </c>
      <c r="AP127" s="1" t="str">
        <f>IF(ISERROR(INDEX(C4:C8,MATCH(H127,D4:D8,0))),"",INDEX(C4:C8,MATCH(H127,D4:D8,0)))</f>
        <v/>
      </c>
      <c r="AQ127" s="79" t="e">
        <f>IF(IF(COUNTIF(AQ4:AQ126,AQ124)&gt;=MAX(D4:D8),AQ124+3,AQ124)&gt;50,"",IF(COUNTIF(AQ4:AQ126,AQ124)&gt;=MAX(D4:D8),AQ124+3,AQ124))</f>
        <v>#VALUE!</v>
      </c>
      <c r="AR127" s="1" t="e">
        <f>IF(AQ127="","",VLOOKUP(AQ127,S4:U53,3,0))</f>
        <v>#VALUE!</v>
      </c>
      <c r="AS127" s="8" t="str">
        <f t="shared" si="76"/>
        <v/>
      </c>
      <c r="AU127" s="71" t="e">
        <f t="shared" si="77"/>
        <v>#VALUE!</v>
      </c>
      <c r="AV127" s="71" t="str">
        <f>IF(OR(COUNTBLANK(AY127)=1,ISERROR(AY127)),"",COUNT(AY4:AY127))</f>
        <v/>
      </c>
      <c r="AW127" s="7" t="e">
        <f t="shared" si="78"/>
        <v>#VALUE!</v>
      </c>
      <c r="AX127" s="1" t="str">
        <f>IF(ISERROR(INDEX(C4:C8,MATCH(I127,D4:D8,0))),"",INDEX(C4:C8,MATCH(I127,D4:D8,0)))</f>
        <v/>
      </c>
      <c r="AY127" s="79" t="e">
        <f>IF(IF(COUNTIF(AY4:AY126,AY123)&gt;=MAX(D4:D8),AY123+4,AY123)&gt;50,"",IF(COUNTIF(AY4:AY126,AY123)&gt;=MAX(D4:D8),AY123+4,AY123))</f>
        <v>#VALUE!</v>
      </c>
      <c r="AZ127" s="76" t="e">
        <f>IF(AY127="","",VLOOKUP(AY127,S4:U53,3,0))</f>
        <v>#VALUE!</v>
      </c>
      <c r="BA127" s="8" t="str">
        <f t="shared" si="79"/>
        <v/>
      </c>
      <c r="BC127" s="71" t="e">
        <f t="shared" si="80"/>
        <v>#VALUE!</v>
      </c>
      <c r="BD127" s="71" t="str">
        <f>IF(OR(COUNTBLANK(BG127)=1,ISERROR(BG127)),"",COUNT(BG4:BG127))</f>
        <v/>
      </c>
      <c r="BE127" s="7" t="e">
        <f t="shared" si="81"/>
        <v>#VALUE!</v>
      </c>
      <c r="BF127" s="1" t="str">
        <f>IF(ISERROR(INDEX(C4:C8,MATCH(J127,D4:D8,0))),"",INDEX(C4:C8,MATCH(J127,D4:D8,0)))</f>
        <v/>
      </c>
      <c r="BG127" s="79" t="e">
        <f>IF(IF(COUNTIF(BG4:BG126,BG122)&gt;=MAX(D4:D8),BG122+5,BG122)&gt;50,"",IF(COUNTIF(BG4:BG126,BG122)&gt;=MAX(D4:D8),BG122+5,BG122))</f>
        <v>#VALUE!</v>
      </c>
      <c r="BH127" s="76" t="e">
        <f>IF(BG127="","",VLOOKUP(BG127,S4:U53,3,0))</f>
        <v>#VALUE!</v>
      </c>
      <c r="BI127" s="8" t="str">
        <f t="shared" si="82"/>
        <v/>
      </c>
      <c r="BP127" s="71" t="e">
        <f>IF(BT127="","",BT127*10+4)</f>
        <v>#VALUE!</v>
      </c>
      <c r="BQ127" s="71" t="str">
        <f>IF(OR(COUNTBLANK(BT127)=1,ISERROR(BT127)),"",COUNT(BT4:BT127))</f>
        <v/>
      </c>
      <c r="BR127" s="7" t="e">
        <f t="shared" si="84"/>
        <v>#VALUE!</v>
      </c>
      <c r="BS127" s="1" t="str">
        <f t="shared" si="85"/>
        <v/>
      </c>
      <c r="BT127" s="79" t="e">
        <f>IF(IF(COUNTIF($BT$4:BT126,BT126)&gt;=MAX($D$4:$D$8),BT126+1,BT126)&gt;55,"",IF(COUNTIF($BT$4:BT126,BT126)&gt;=MAX($D$4:$D$8),BT126+1,BT126))</f>
        <v>#VALUE!</v>
      </c>
      <c r="BU127" s="1" t="e">
        <f t="shared" si="86"/>
        <v>#VALUE!</v>
      </c>
      <c r="BV127" s="8" t="str">
        <f t="shared" si="87"/>
        <v/>
      </c>
      <c r="BX127" s="71" t="e">
        <f t="shared" si="88"/>
        <v>#VALUE!</v>
      </c>
      <c r="BY127" s="71" t="str">
        <f>IF(OR(COUNTBLANK(CB127)=1,ISERROR(CB127)),"",COUNT($CB$4:CB127))</f>
        <v/>
      </c>
      <c r="BZ127" s="7" t="e">
        <f t="shared" si="89"/>
        <v>#VALUE!</v>
      </c>
      <c r="CA127" s="1" t="str">
        <f t="shared" si="90"/>
        <v/>
      </c>
      <c r="CB127" s="79" t="e">
        <f>IF(IF(COUNTIF($CB$4:CB126,CB125)&gt;=MAX($D$4:$D$8),CB125+2,CB125)&gt;55,"",IF(COUNTIF($CB$4:CB126,CB125)&gt;=MAX($D$4:$D$8),CB125+2,CB125))</f>
        <v>#VALUE!</v>
      </c>
      <c r="CC127" s="1" t="e">
        <f t="shared" si="91"/>
        <v>#VALUE!</v>
      </c>
      <c r="CD127" s="8" t="str">
        <f t="shared" si="92"/>
        <v/>
      </c>
      <c r="CF127" s="71" t="e">
        <f t="shared" si="105"/>
        <v>#VALUE!</v>
      </c>
      <c r="CG127" s="71" t="str">
        <f>IF(OR(COUNTBLANK(CJ127)=1,ISERROR(CJ127)),"",COUNT($CJ$4:CJ127))</f>
        <v/>
      </c>
      <c r="CH127" s="7" t="e">
        <f t="shared" si="106"/>
        <v>#VALUE!</v>
      </c>
      <c r="CI127" s="1" t="str">
        <f t="shared" si="107"/>
        <v/>
      </c>
      <c r="CJ127" s="79" t="e">
        <f>IF(IF(COUNTIF($CJ$4:CJ126,CJ124)&gt;=MAX($D$4:$D$8),CJ124+3,CJ124)&gt;55,"",IF(COUNTIF($CJ$4:CJ126,CJ124)&gt;=MAX($D$4:$D$8),CJ124+3,CJ124))</f>
        <v>#VALUE!</v>
      </c>
      <c r="CK127" s="1" t="e">
        <f t="shared" si="93"/>
        <v>#VALUE!</v>
      </c>
      <c r="CL127" s="8" t="str">
        <f t="shared" si="108"/>
        <v/>
      </c>
      <c r="CN127" s="71" t="e">
        <f t="shared" si="99"/>
        <v>#VALUE!</v>
      </c>
      <c r="CO127" s="71" t="str">
        <f>IF(OR(COUNTBLANK(CR127)=1,ISERROR(CR127)),"",COUNT($CR$4:CR127))</f>
        <v/>
      </c>
      <c r="CP127" s="7" t="e">
        <f t="shared" si="100"/>
        <v>#VALUE!</v>
      </c>
      <c r="CQ127" s="1" t="str">
        <f t="shared" si="101"/>
        <v/>
      </c>
      <c r="CR127" s="79" t="e">
        <f>IF(IF(COUNTIF($CR$4:CR126,CR123)&gt;=MAX($D$4:$D$8),CR123+4,CR123)&gt;55,"",IF(COUNTIF($CR$4:CR126,CR123)&gt;=MAX($D$4:$D$8),CR123+4,CR123))</f>
        <v>#VALUE!</v>
      </c>
      <c r="CS127" s="1" t="e">
        <f t="shared" si="94"/>
        <v>#VALUE!</v>
      </c>
      <c r="CT127" s="8" t="str">
        <f t="shared" si="102"/>
        <v/>
      </c>
      <c r="CV127" s="71" t="e">
        <f t="shared" si="109"/>
        <v>#VALUE!</v>
      </c>
      <c r="CW127" s="71" t="str">
        <f>IF(OR(COUNTBLANK(CZ127)=1,ISERROR(CZ127)),"",COUNT($CZ$4:CZ127))</f>
        <v/>
      </c>
      <c r="CX127" s="7" t="e">
        <f t="shared" si="110"/>
        <v>#VALUE!</v>
      </c>
      <c r="CY127" s="1" t="str">
        <f t="shared" si="111"/>
        <v/>
      </c>
      <c r="CZ127" s="79" t="e">
        <f>IF(IF(COUNTIF($CZ$4:CZ126,CZ122)&gt;=MAX($D$4:$D$8),CZ122+5,CZ122)&gt;55,"",IF(COUNTIF($CZ$4:CZ126,CZ122)&gt;=MAX($D$4:$D$8),CZ122+5,CZ122))</f>
        <v>#VALUE!</v>
      </c>
      <c r="DA127" s="1" t="e">
        <f t="shared" si="95"/>
        <v>#VALUE!</v>
      </c>
      <c r="DB127" s="8" t="str">
        <f t="shared" si="112"/>
        <v/>
      </c>
    </row>
    <row r="128" spans="5:106" x14ac:dyDescent="0.15">
      <c r="E128" s="1">
        <v>125</v>
      </c>
      <c r="F128" s="1">
        <f t="shared" si="96"/>
        <v>1</v>
      </c>
      <c r="G128" s="1">
        <f t="shared" si="103"/>
        <v>1</v>
      </c>
      <c r="H128" s="1">
        <f t="shared" si="97"/>
        <v>1</v>
      </c>
      <c r="I128" s="1">
        <f t="shared" si="98"/>
        <v>1</v>
      </c>
      <c r="J128" s="1">
        <f t="shared" si="104"/>
        <v>1</v>
      </c>
      <c r="L128" s="1" t="str">
        <f>IF(ISERROR(HLOOKUP($C$10,$F$3:$J$253,126,0)),"",HLOOKUP($C$10,$F$3:$J$253,126,0))</f>
        <v/>
      </c>
      <c r="N128" s="67"/>
      <c r="W128" s="71" t="e">
        <f>IF(AA128="","",AA128*10+5)</f>
        <v>#VALUE!</v>
      </c>
      <c r="X128" s="71" t="str">
        <f>IF(OR(COUNTBLANK(AA128)=1,ISERROR(AA128)),"",COUNT(AA4:AA128))</f>
        <v/>
      </c>
      <c r="Y128" s="7" t="e">
        <f t="shared" si="69"/>
        <v>#VALUE!</v>
      </c>
      <c r="Z128" s="1" t="str">
        <f t="shared" si="83"/>
        <v/>
      </c>
      <c r="AA128" s="79" t="e">
        <f>IF(IF(COUNTIF(AA4:AA127,AA127)&gt;=MAX(D4:D8),AA127+1,AA127)&gt;50,"",IF(COUNTIF(AA4:AA127,AA127)&gt;=MAX(D4:D8),AA127+1,AA127))</f>
        <v>#VALUE!</v>
      </c>
      <c r="AB128" s="1" t="e">
        <f>IF(AA128="","",VLOOKUP(AA128,S4:U53,3,0))</f>
        <v>#VALUE!</v>
      </c>
      <c r="AC128" s="8" t="str">
        <f t="shared" si="70"/>
        <v/>
      </c>
      <c r="AE128" s="71" t="e">
        <f t="shared" si="71"/>
        <v>#VALUE!</v>
      </c>
      <c r="AF128" s="71" t="str">
        <f>IF(OR(COUNTBLANK(AI128)=1,ISERROR(AI128)),"",COUNT(AI4:AI128))</f>
        <v/>
      </c>
      <c r="AG128" s="7" t="e">
        <f t="shared" si="72"/>
        <v>#VALUE!</v>
      </c>
      <c r="AH128" s="1" t="str">
        <f>IF(ISERROR(INDEX(C4:C8,MATCH(G128,D4:D8,0))),"",INDEX(C4:C8,MATCH(G128,D4:D8,0)))</f>
        <v/>
      </c>
      <c r="AI128" s="79" t="e">
        <f>IF(IF(COUNTIF(AI4:AI127,AI126)&gt;=MAX(D4:D8),AI126+2,AI126)&gt;50,"",IF(COUNTIF(AI4:AI127,AI126)&gt;=MAX(D4:D8),AI126+2,AI126))</f>
        <v>#VALUE!</v>
      </c>
      <c r="AJ128" s="1" t="e">
        <f>IF(AI128="","",VLOOKUP(AI128,S4:U53,3,0))</f>
        <v>#VALUE!</v>
      </c>
      <c r="AK128" s="8" t="str">
        <f t="shared" si="73"/>
        <v/>
      </c>
      <c r="AM128" s="71" t="e">
        <f t="shared" si="74"/>
        <v>#VALUE!</v>
      </c>
      <c r="AN128" s="71" t="str">
        <f>IF(OR(COUNTBLANK(AQ128)=1,ISERROR(AQ128)),"",COUNT(AQ4:AQ128))</f>
        <v/>
      </c>
      <c r="AO128" s="7" t="e">
        <f t="shared" si="75"/>
        <v>#VALUE!</v>
      </c>
      <c r="AP128" s="1" t="str">
        <f>IF(ISERROR(INDEX(C4:C8,MATCH(H128,D4:D8,0))),"",INDEX(C4:C8,MATCH(H128,D4:D8,0)))</f>
        <v/>
      </c>
      <c r="AQ128" s="79" t="e">
        <f>IF(IF(COUNTIF(AQ4:AQ127,AQ125)&gt;=MAX(D4:D8),AQ125+3,AQ125)&gt;50,"",IF(COUNTIF(AQ4:AQ127,AQ125)&gt;=MAX(D4:D8),AQ125+3,AQ125))</f>
        <v>#VALUE!</v>
      </c>
      <c r="AR128" s="1" t="e">
        <f>IF(AQ128="","",VLOOKUP(AQ128,S4:U53,3,0))</f>
        <v>#VALUE!</v>
      </c>
      <c r="AS128" s="8" t="str">
        <f t="shared" si="76"/>
        <v/>
      </c>
      <c r="AU128" s="71" t="e">
        <f t="shared" si="77"/>
        <v>#VALUE!</v>
      </c>
      <c r="AV128" s="71" t="str">
        <f>IF(OR(COUNTBLANK(AY128)=1,ISERROR(AY128)),"",COUNT(AY4:AY128))</f>
        <v/>
      </c>
      <c r="AW128" s="7" t="e">
        <f t="shared" si="78"/>
        <v>#VALUE!</v>
      </c>
      <c r="AX128" s="1" t="str">
        <f>IF(ISERROR(INDEX(C4:C8,MATCH(I128,D4:D8,0))),"",INDEX(C4:C8,MATCH(I128,D4:D8,0)))</f>
        <v/>
      </c>
      <c r="AY128" s="79" t="e">
        <f>IF(IF(COUNTIF(AY4:AY127,AY124)&gt;=MAX(D4:D8),AY124+4,AY124)&gt;50,"",IF(COUNTIF(AY4:AY127,AY124)&gt;=MAX(D4:D8),AY124+4,AY124))</f>
        <v>#VALUE!</v>
      </c>
      <c r="AZ128" s="76" t="e">
        <f>IF(AY128="","",VLOOKUP(AY128,S4:U53,3,0))</f>
        <v>#VALUE!</v>
      </c>
      <c r="BA128" s="8" t="str">
        <f t="shared" si="79"/>
        <v/>
      </c>
      <c r="BC128" s="71" t="e">
        <f t="shared" si="80"/>
        <v>#VALUE!</v>
      </c>
      <c r="BD128" s="71" t="str">
        <f>IF(OR(COUNTBLANK(BG128)=1,ISERROR(BG128)),"",COUNT(BG4:BG128))</f>
        <v/>
      </c>
      <c r="BE128" s="7" t="e">
        <f t="shared" si="81"/>
        <v>#VALUE!</v>
      </c>
      <c r="BF128" s="1" t="str">
        <f>IF(ISERROR(INDEX(C4:C8,MATCH(J128,D4:D8,0))),"",INDEX(C4:C8,MATCH(J128,D4:D8,0)))</f>
        <v/>
      </c>
      <c r="BG128" s="79" t="e">
        <f>IF(IF(COUNTIF(BG4:BG127,BG123)&gt;=MAX(D4:D8),BG123+5,BG123)&gt;50,"",IF(COUNTIF(BG4:BG127,BG123)&gt;=MAX(D4:D8),BG123+5,BG123))</f>
        <v>#VALUE!</v>
      </c>
      <c r="BH128" s="76" t="e">
        <f>IF(BG128="","",VLOOKUP(BG128,S4:U53,3,0))</f>
        <v>#VALUE!</v>
      </c>
      <c r="BI128" s="8" t="str">
        <f t="shared" si="82"/>
        <v/>
      </c>
      <c r="BP128" s="71" t="e">
        <f>IF(BT128="","",BT128*10+5)</f>
        <v>#VALUE!</v>
      </c>
      <c r="BQ128" s="71" t="str">
        <f>IF(OR(COUNTBLANK(BT128)=1,ISERROR(BT128)),"",COUNT(BT4:BT128))</f>
        <v/>
      </c>
      <c r="BR128" s="7" t="e">
        <f t="shared" si="84"/>
        <v>#VALUE!</v>
      </c>
      <c r="BS128" s="1" t="str">
        <f t="shared" si="85"/>
        <v/>
      </c>
      <c r="BT128" s="79" t="e">
        <f>IF(IF(COUNTIF($BT$4:BT127,BT127)&gt;=MAX($D$4:$D$8),BT127+1,BT127)&gt;55,"",IF(COUNTIF($BT$4:BT127,BT127)&gt;=MAX($D$4:$D$8),BT127+1,BT127))</f>
        <v>#VALUE!</v>
      </c>
      <c r="BU128" s="1" t="e">
        <f t="shared" si="86"/>
        <v>#VALUE!</v>
      </c>
      <c r="BV128" s="8" t="str">
        <f t="shared" si="87"/>
        <v/>
      </c>
      <c r="BX128" s="71" t="e">
        <f t="shared" si="88"/>
        <v>#VALUE!</v>
      </c>
      <c r="BY128" s="71" t="str">
        <f>IF(OR(COUNTBLANK(CB128)=1,ISERROR(CB128)),"",COUNT($CB$4:CB128))</f>
        <v/>
      </c>
      <c r="BZ128" s="7" t="e">
        <f t="shared" si="89"/>
        <v>#VALUE!</v>
      </c>
      <c r="CA128" s="1" t="str">
        <f t="shared" si="90"/>
        <v/>
      </c>
      <c r="CB128" s="79" t="e">
        <f>IF(IF(COUNTIF($CB$4:CB127,CB126)&gt;=MAX($D$4:$D$8),CB126+2,CB126)&gt;55,"",IF(COUNTIF($CB$4:CB127,CB126)&gt;=MAX($D$4:$D$8),CB126+2,CB126))</f>
        <v>#VALUE!</v>
      </c>
      <c r="CC128" s="1" t="e">
        <f t="shared" si="91"/>
        <v>#VALUE!</v>
      </c>
      <c r="CD128" s="8" t="str">
        <f t="shared" si="92"/>
        <v/>
      </c>
      <c r="CF128" s="71" t="e">
        <f t="shared" si="105"/>
        <v>#VALUE!</v>
      </c>
      <c r="CG128" s="71" t="str">
        <f>IF(OR(COUNTBLANK(CJ128)=1,ISERROR(CJ128)),"",COUNT($CJ$4:CJ128))</f>
        <v/>
      </c>
      <c r="CH128" s="7" t="e">
        <f t="shared" si="106"/>
        <v>#VALUE!</v>
      </c>
      <c r="CI128" s="1" t="str">
        <f t="shared" si="107"/>
        <v/>
      </c>
      <c r="CJ128" s="79" t="e">
        <f>IF(IF(COUNTIF($CJ$4:CJ127,CJ125)&gt;=MAX($D$4:$D$8),CJ125+3,CJ125)&gt;55,"",IF(COUNTIF($CJ$4:CJ127,CJ125)&gt;=MAX($D$4:$D$8),CJ125+3,CJ125))</f>
        <v>#VALUE!</v>
      </c>
      <c r="CK128" s="1" t="e">
        <f t="shared" si="93"/>
        <v>#VALUE!</v>
      </c>
      <c r="CL128" s="8" t="str">
        <f t="shared" si="108"/>
        <v/>
      </c>
      <c r="CN128" s="71" t="e">
        <f t="shared" si="99"/>
        <v>#VALUE!</v>
      </c>
      <c r="CO128" s="71" t="str">
        <f>IF(OR(COUNTBLANK(CR128)=1,ISERROR(CR128)),"",COUNT($CR$4:CR128))</f>
        <v/>
      </c>
      <c r="CP128" s="7" t="e">
        <f t="shared" si="100"/>
        <v>#VALUE!</v>
      </c>
      <c r="CQ128" s="1" t="str">
        <f t="shared" si="101"/>
        <v/>
      </c>
      <c r="CR128" s="79" t="e">
        <f>IF(IF(COUNTIF($CR$4:CR127,CR124)&gt;=MAX($D$4:$D$8),CR124+4,CR124)&gt;55,"",IF(COUNTIF($CR$4:CR127,CR124)&gt;=MAX($D$4:$D$8),CR124+4,CR124))</f>
        <v>#VALUE!</v>
      </c>
      <c r="CS128" s="1" t="e">
        <f t="shared" si="94"/>
        <v>#VALUE!</v>
      </c>
      <c r="CT128" s="8" t="str">
        <f t="shared" si="102"/>
        <v/>
      </c>
      <c r="CV128" s="71" t="e">
        <f t="shared" si="109"/>
        <v>#VALUE!</v>
      </c>
      <c r="CW128" s="71" t="str">
        <f>IF(OR(COUNTBLANK(CZ128)=1,ISERROR(CZ128)),"",COUNT($CZ$4:CZ128))</f>
        <v/>
      </c>
      <c r="CX128" s="7" t="e">
        <f t="shared" si="110"/>
        <v>#VALUE!</v>
      </c>
      <c r="CY128" s="1" t="str">
        <f t="shared" si="111"/>
        <v/>
      </c>
      <c r="CZ128" s="79" t="e">
        <f>IF(IF(COUNTIF($CZ$4:CZ127,CZ123)&gt;=MAX($D$4:$D$8),CZ123+5,CZ123)&gt;55,"",IF(COUNTIF($CZ$4:CZ127,CZ123)&gt;=MAX($D$4:$D$8),CZ123+5,CZ123))</f>
        <v>#VALUE!</v>
      </c>
      <c r="DA128" s="1" t="e">
        <f t="shared" si="95"/>
        <v>#VALUE!</v>
      </c>
      <c r="DB128" s="8" t="str">
        <f t="shared" si="112"/>
        <v/>
      </c>
    </row>
    <row r="129" spans="5:106" x14ac:dyDescent="0.15">
      <c r="E129" s="1">
        <v>126</v>
      </c>
      <c r="F129" s="1">
        <f t="shared" si="96"/>
        <v>1</v>
      </c>
      <c r="G129" s="1">
        <f t="shared" si="103"/>
        <v>1</v>
      </c>
      <c r="H129" s="1">
        <f t="shared" si="97"/>
        <v>1</v>
      </c>
      <c r="I129" s="1">
        <f t="shared" si="98"/>
        <v>1</v>
      </c>
      <c r="J129" s="1">
        <f t="shared" si="104"/>
        <v>1</v>
      </c>
      <c r="L129" s="1" t="str">
        <f>IF(ISERROR(HLOOKUP($C$10,$F$3:$J$253,127,0)),"",HLOOKUP($C$10,$F$3:$J$253,127,0))</f>
        <v/>
      </c>
      <c r="N129" s="67"/>
      <c r="W129" s="71" t="e">
        <f>IF(AA129="","",AA129*10+1)</f>
        <v>#VALUE!</v>
      </c>
      <c r="X129" s="71" t="str">
        <f>IF(OR(COUNTBLANK(AA129)=1,ISERROR(AA129)),"",COUNT(AA4:AA129))</f>
        <v/>
      </c>
      <c r="Y129" s="7" t="e">
        <f t="shared" si="69"/>
        <v>#VALUE!</v>
      </c>
      <c r="Z129" s="1" t="str">
        <f t="shared" si="83"/>
        <v/>
      </c>
      <c r="AA129" s="79" t="e">
        <f>IF(IF(COUNTIF(AA4:AA128,AA128)&gt;=MAX(D4:D8),AA128+1,AA128)&gt;50,"",IF(COUNTIF(AA4:AA128,AA128)&gt;=MAX(D4:D8),AA128+1,AA128))</f>
        <v>#VALUE!</v>
      </c>
      <c r="AB129" s="1" t="e">
        <f>IF(AA129="","",VLOOKUP(AA129,S4:U53,3,0))</f>
        <v>#VALUE!</v>
      </c>
      <c r="AC129" s="8" t="str">
        <f t="shared" si="70"/>
        <v/>
      </c>
      <c r="AE129" s="71" t="e">
        <f t="shared" si="71"/>
        <v>#VALUE!</v>
      </c>
      <c r="AF129" s="71" t="str">
        <f>IF(OR(COUNTBLANK(AI129)=1,ISERROR(AI129)),"",COUNT(AI4:AI129))</f>
        <v/>
      </c>
      <c r="AG129" s="7" t="e">
        <f t="shared" si="72"/>
        <v>#VALUE!</v>
      </c>
      <c r="AH129" s="1" t="str">
        <f>IF(ISERROR(INDEX(C4:C8,MATCH(G129,D4:D8,0))),"",INDEX(C4:C8,MATCH(G129,D4:D8,0)))</f>
        <v/>
      </c>
      <c r="AI129" s="79" t="e">
        <f>IF(IF(COUNTIF(AI4:AI127,AI127)&gt;=MAX(D4:D8),AI127+2,AI127)&gt;50,"",IF(COUNTIF(AI4:AI127,AI127)&gt;=MAX(D4:D8),AI127+2,AI127))</f>
        <v>#VALUE!</v>
      </c>
      <c r="AJ129" s="1" t="e">
        <f>IF(AI129="","",VLOOKUP(AI129,S4:U53,3,0))</f>
        <v>#VALUE!</v>
      </c>
      <c r="AK129" s="8" t="str">
        <f t="shared" si="73"/>
        <v/>
      </c>
      <c r="AM129" s="71" t="e">
        <f t="shared" si="74"/>
        <v>#VALUE!</v>
      </c>
      <c r="AN129" s="71" t="str">
        <f>IF(OR(COUNTBLANK(AQ129)=1,ISERROR(AQ129)),"",COUNT(AQ4:AQ129))</f>
        <v/>
      </c>
      <c r="AO129" s="7" t="e">
        <f t="shared" si="75"/>
        <v>#VALUE!</v>
      </c>
      <c r="AP129" s="1" t="str">
        <f>IF(ISERROR(INDEX(C4:C8,MATCH(H129,D4:D8,0))),"",INDEX(C4:C8,MATCH(H129,D4:D8,0)))</f>
        <v/>
      </c>
      <c r="AQ129" s="79" t="e">
        <f>IF(IF(COUNTIF(AQ4:AQ128,AQ126)&gt;=MAX(D4:D8),AQ126+3,AQ126)&gt;50,"",IF(COUNTIF(AQ4:AQ128,AQ126)&gt;=MAX(D4:D8),AQ126+3,AQ126))</f>
        <v>#VALUE!</v>
      </c>
      <c r="AR129" s="1" t="e">
        <f>IF(AQ129="","",VLOOKUP(AQ129,S4:U53,3,0))</f>
        <v>#VALUE!</v>
      </c>
      <c r="AS129" s="8" t="str">
        <f t="shared" si="76"/>
        <v/>
      </c>
      <c r="AU129" s="71" t="e">
        <f t="shared" si="77"/>
        <v>#VALUE!</v>
      </c>
      <c r="AV129" s="71" t="str">
        <f>IF(OR(COUNTBLANK(AY129)=1,ISERROR(AY129)),"",COUNT(AY4:AY129))</f>
        <v/>
      </c>
      <c r="AW129" s="7" t="e">
        <f t="shared" si="78"/>
        <v>#VALUE!</v>
      </c>
      <c r="AX129" s="1" t="str">
        <f>IF(ISERROR(INDEX(C4:C8,MATCH(I129,D4:D8,0))),"",INDEX(C4:C8,MATCH(I129,D4:D8,0)))</f>
        <v/>
      </c>
      <c r="AY129" s="79" t="e">
        <f>IF(IF(COUNTIF(AY4:AY128,AY125)&gt;=MAX(D4:D8),AY125+4,AY125)&gt;50,"",IF(COUNTIF(AY4:AY128,AY125)&gt;=MAX(D4:D8),AY125+4,AY125))</f>
        <v>#VALUE!</v>
      </c>
      <c r="AZ129" s="76" t="e">
        <f>IF(AY129="","",VLOOKUP(AY129,S4:U53,3,0))</f>
        <v>#VALUE!</v>
      </c>
      <c r="BA129" s="8" t="str">
        <f t="shared" si="79"/>
        <v/>
      </c>
      <c r="BC129" s="71" t="e">
        <f t="shared" si="80"/>
        <v>#VALUE!</v>
      </c>
      <c r="BD129" s="71" t="str">
        <f>IF(OR(COUNTBLANK(BG129)=1,ISERROR(BG129)),"",COUNT(BG4:BG129))</f>
        <v/>
      </c>
      <c r="BE129" s="7" t="e">
        <f t="shared" si="81"/>
        <v>#VALUE!</v>
      </c>
      <c r="BF129" s="1" t="str">
        <f>IF(ISERROR(INDEX(C4:C8,MATCH(J129,D4:D8,0))),"",INDEX(C4:C8,MATCH(J129,D4:D8,0)))</f>
        <v/>
      </c>
      <c r="BG129" s="79" t="e">
        <f>IF(IF(COUNTIF(BG4:BG128,BG124)&gt;=MAX(D4:D8),BG124+5,BG124)&gt;50,"",IF(COUNTIF(BG4:BG128,BG124)&gt;=MAX(D4:D8),BG124+5,BG124))</f>
        <v>#VALUE!</v>
      </c>
      <c r="BH129" s="76" t="e">
        <f>IF(BG129="","",VLOOKUP(BG129,S4:U53,3,0))</f>
        <v>#VALUE!</v>
      </c>
      <c r="BI129" s="8" t="str">
        <f t="shared" si="82"/>
        <v/>
      </c>
      <c r="BP129" s="71" t="e">
        <f>IF(BT129="","",BT129*10+1)</f>
        <v>#VALUE!</v>
      </c>
      <c r="BQ129" s="71" t="str">
        <f>IF(OR(COUNTBLANK(BT129)=1,ISERROR(BT129)),"",COUNT(BT4:BT129))</f>
        <v/>
      </c>
      <c r="BR129" s="7" t="e">
        <f t="shared" si="84"/>
        <v>#VALUE!</v>
      </c>
      <c r="BS129" s="1" t="str">
        <f t="shared" si="85"/>
        <v/>
      </c>
      <c r="BT129" s="79" t="e">
        <f>IF(IF(COUNTIF($BT$4:BT128,BT128)&gt;=MAX($D$4:$D$8),BT128+1,BT128)&gt;55,"",IF(COUNTIF($BT$4:BT128,BT128)&gt;=MAX($D$4:$D$8),BT128+1,BT128))</f>
        <v>#VALUE!</v>
      </c>
      <c r="BU129" s="1" t="e">
        <f t="shared" si="86"/>
        <v>#VALUE!</v>
      </c>
      <c r="BV129" s="8" t="str">
        <f t="shared" si="87"/>
        <v/>
      </c>
      <c r="BX129" s="71" t="e">
        <f t="shared" si="88"/>
        <v>#VALUE!</v>
      </c>
      <c r="BY129" s="71" t="str">
        <f>IF(OR(COUNTBLANK(CB129)=1,ISERROR(CB129)),"",COUNT($CB$4:CB129))</f>
        <v/>
      </c>
      <c r="BZ129" s="7" t="e">
        <f t="shared" si="89"/>
        <v>#VALUE!</v>
      </c>
      <c r="CA129" s="1" t="str">
        <f t="shared" si="90"/>
        <v/>
      </c>
      <c r="CB129" s="79" t="e">
        <f>IF(IF(COUNTIF($CB$4:CB128,CB127)&gt;=MAX($D$4:$D$8),CB127+2,CB127)&gt;55,"",IF(COUNTIF($CB$4:CB128,CB127)&gt;=MAX($D$4:$D$8),CB127+2,CB127))</f>
        <v>#VALUE!</v>
      </c>
      <c r="CC129" s="1" t="e">
        <f t="shared" si="91"/>
        <v>#VALUE!</v>
      </c>
      <c r="CD129" s="8" t="str">
        <f t="shared" si="92"/>
        <v/>
      </c>
      <c r="CF129" s="71" t="e">
        <f t="shared" si="105"/>
        <v>#VALUE!</v>
      </c>
      <c r="CG129" s="71" t="str">
        <f>IF(OR(COUNTBLANK(CJ129)=1,ISERROR(CJ129)),"",COUNT($CJ$4:CJ129))</f>
        <v/>
      </c>
      <c r="CH129" s="7" t="e">
        <f t="shared" si="106"/>
        <v>#VALUE!</v>
      </c>
      <c r="CI129" s="1" t="str">
        <f t="shared" si="107"/>
        <v/>
      </c>
      <c r="CJ129" s="79" t="e">
        <f>IF(IF(COUNTIF($CJ$4:CJ128,CJ126)&gt;=MAX($D$4:$D$8),CJ126+3,CJ126)&gt;55,"",IF(COUNTIF($CJ$4:CJ128,CJ126)&gt;=MAX($D$4:$D$8),CJ126+3,CJ126))</f>
        <v>#VALUE!</v>
      </c>
      <c r="CK129" s="1" t="e">
        <f t="shared" si="93"/>
        <v>#VALUE!</v>
      </c>
      <c r="CL129" s="8" t="str">
        <f t="shared" si="108"/>
        <v/>
      </c>
      <c r="CN129" s="71" t="e">
        <f t="shared" si="99"/>
        <v>#VALUE!</v>
      </c>
      <c r="CO129" s="71" t="str">
        <f>IF(OR(COUNTBLANK(CR129)=1,ISERROR(CR129)),"",COUNT($CR$4:CR129))</f>
        <v/>
      </c>
      <c r="CP129" s="7" t="e">
        <f t="shared" si="100"/>
        <v>#VALUE!</v>
      </c>
      <c r="CQ129" s="1" t="str">
        <f t="shared" si="101"/>
        <v/>
      </c>
      <c r="CR129" s="79" t="e">
        <f>IF(IF(COUNTIF($CR$4:CR128,CR125)&gt;=MAX($D$4:$D$8),CR125+4,CR125)&gt;55,"",IF(COUNTIF($CR$4:CR128,CR125)&gt;=MAX($D$4:$D$8),CR125+4,CR125))</f>
        <v>#VALUE!</v>
      </c>
      <c r="CS129" s="1" t="e">
        <f t="shared" si="94"/>
        <v>#VALUE!</v>
      </c>
      <c r="CT129" s="8" t="str">
        <f t="shared" si="102"/>
        <v/>
      </c>
      <c r="CV129" s="71" t="e">
        <f t="shared" si="109"/>
        <v>#VALUE!</v>
      </c>
      <c r="CW129" s="71" t="str">
        <f>IF(OR(COUNTBLANK(CZ129)=1,ISERROR(CZ129)),"",COUNT($CZ$4:CZ129))</f>
        <v/>
      </c>
      <c r="CX129" s="7" t="e">
        <f t="shared" si="110"/>
        <v>#VALUE!</v>
      </c>
      <c r="CY129" s="1" t="str">
        <f t="shared" si="111"/>
        <v/>
      </c>
      <c r="CZ129" s="79" t="e">
        <f>IF(IF(COUNTIF($CZ$4:CZ128,CZ124)&gt;=MAX($D$4:$D$8),CZ124+5,CZ124)&gt;55,"",IF(COUNTIF($CZ$4:CZ128,CZ124)&gt;=MAX($D$4:$D$8),CZ124+5,CZ124))</f>
        <v>#VALUE!</v>
      </c>
      <c r="DA129" s="1" t="e">
        <f t="shared" si="95"/>
        <v>#VALUE!</v>
      </c>
      <c r="DB129" s="8" t="str">
        <f t="shared" si="112"/>
        <v/>
      </c>
    </row>
    <row r="130" spans="5:106" x14ac:dyDescent="0.15">
      <c r="E130" s="1">
        <v>127</v>
      </c>
      <c r="F130" s="1">
        <f t="shared" si="96"/>
        <v>1</v>
      </c>
      <c r="G130" s="1">
        <f t="shared" si="103"/>
        <v>1</v>
      </c>
      <c r="H130" s="1">
        <f t="shared" si="97"/>
        <v>1</v>
      </c>
      <c r="I130" s="1">
        <f t="shared" si="98"/>
        <v>1</v>
      </c>
      <c r="J130" s="1">
        <f t="shared" si="104"/>
        <v>1</v>
      </c>
      <c r="L130" s="1" t="str">
        <f>IF(ISERROR(HLOOKUP($C$10,$F$3:$J$253,128,0)),"",HLOOKUP($C$10,$F$3:$J$253,128,0))</f>
        <v/>
      </c>
      <c r="N130" s="67"/>
      <c r="W130" s="71" t="e">
        <f>IF(AA130="","",AA130*10+2)</f>
        <v>#VALUE!</v>
      </c>
      <c r="X130" s="71" t="str">
        <f>IF(OR(COUNTBLANK(AA130)=1,ISERROR(AA130)),"",COUNT(AA4:AA130))</f>
        <v/>
      </c>
      <c r="Y130" s="7" t="e">
        <f t="shared" si="69"/>
        <v>#VALUE!</v>
      </c>
      <c r="Z130" s="1" t="str">
        <f t="shared" si="83"/>
        <v/>
      </c>
      <c r="AA130" s="79" t="e">
        <f>IF(IF(COUNTIF(AA4:AA129,AA129)&gt;=MAX(D4:D8),AA129+1,AA129)&gt;50,"",IF(COUNTIF(AA4:AA129,AA129)&gt;=MAX(D4:D8),AA129+1,AA129))</f>
        <v>#VALUE!</v>
      </c>
      <c r="AB130" s="1" t="e">
        <f>IF(AA130="","",VLOOKUP(AA130,S4:U53,3,0))</f>
        <v>#VALUE!</v>
      </c>
      <c r="AC130" s="8" t="str">
        <f t="shared" si="70"/>
        <v/>
      </c>
      <c r="AE130" s="71" t="e">
        <f t="shared" si="71"/>
        <v>#VALUE!</v>
      </c>
      <c r="AF130" s="71" t="str">
        <f>IF(OR(COUNTBLANK(AI130)=1,ISERROR(AI130)),"",COUNT(AI4:AI130))</f>
        <v/>
      </c>
      <c r="AG130" s="7" t="e">
        <f t="shared" si="72"/>
        <v>#VALUE!</v>
      </c>
      <c r="AH130" s="1" t="str">
        <f>IF(ISERROR(INDEX(C4:C8,MATCH(G130,D4:D8,0))),"",INDEX(C4:C8,MATCH(G130,D4:D8,0)))</f>
        <v/>
      </c>
      <c r="AI130" s="79" t="e">
        <f>IF(IF(COUNTIF(AI4:AI129,AI128)&gt;=MAX(D4:D8),AI128+2,AI128)&gt;50,"",IF(COUNTIF(AI4:AI129,AI128)&gt;=MAX(D4:D8),AI128+2,AI128))</f>
        <v>#VALUE!</v>
      </c>
      <c r="AJ130" s="1" t="e">
        <f>IF(AI130="","",VLOOKUP(AI130,S4:U53,3,0))</f>
        <v>#VALUE!</v>
      </c>
      <c r="AK130" s="8" t="str">
        <f t="shared" si="73"/>
        <v/>
      </c>
      <c r="AM130" s="71" t="e">
        <f t="shared" si="74"/>
        <v>#VALUE!</v>
      </c>
      <c r="AN130" s="71" t="str">
        <f>IF(OR(COUNTBLANK(AQ130)=1,ISERROR(AQ130)),"",COUNT(AQ4:AQ130))</f>
        <v/>
      </c>
      <c r="AO130" s="7" t="e">
        <f t="shared" si="75"/>
        <v>#VALUE!</v>
      </c>
      <c r="AP130" s="1" t="str">
        <f>IF(ISERROR(INDEX(C4:C8,MATCH(H130,D4:D8,0))),"",INDEX(C4:C8,MATCH(H130,D4:D8,0)))</f>
        <v/>
      </c>
      <c r="AQ130" s="79" t="e">
        <f>IF(IF(COUNTIF(AQ4:AQ129,AQ127)&gt;=MAX(D4:D8),AQ127+3,AQ127)&gt;50,"",IF(COUNTIF(AQ4:AQ129,AQ127)&gt;=MAX(D4:D8),AQ127+3,AQ127))</f>
        <v>#VALUE!</v>
      </c>
      <c r="AR130" s="1" t="e">
        <f>IF(AQ130="","",VLOOKUP(AQ130,S4:U53,3,0))</f>
        <v>#VALUE!</v>
      </c>
      <c r="AS130" s="8" t="str">
        <f t="shared" si="76"/>
        <v/>
      </c>
      <c r="AU130" s="71" t="e">
        <f t="shared" si="77"/>
        <v>#VALUE!</v>
      </c>
      <c r="AV130" s="71" t="str">
        <f>IF(OR(COUNTBLANK(AY130)=1,ISERROR(AY130)),"",COUNT(AY4:AY130))</f>
        <v/>
      </c>
      <c r="AW130" s="7" t="e">
        <f t="shared" si="78"/>
        <v>#VALUE!</v>
      </c>
      <c r="AX130" s="1" t="str">
        <f>IF(ISERROR(INDEX(C4:C8,MATCH(I130,D4:D8,0))),"",INDEX(C4:C8,MATCH(I130,D4:D8,0)))</f>
        <v/>
      </c>
      <c r="AY130" s="79" t="e">
        <f>IF(IF(COUNTIF(AY4:AY129,AY126)&gt;=MAX(D4:D8),AY126+4,AY126)&gt;50,"",IF(COUNTIF(AY4:AY129,AY126)&gt;=MAX(D4:D8),AY126+4,AY126))</f>
        <v>#VALUE!</v>
      </c>
      <c r="AZ130" s="76" t="e">
        <f>IF(AY130="","",VLOOKUP(AY130,S4:U53,3,0))</f>
        <v>#VALUE!</v>
      </c>
      <c r="BA130" s="8" t="str">
        <f t="shared" si="79"/>
        <v/>
      </c>
      <c r="BC130" s="71" t="e">
        <f t="shared" si="80"/>
        <v>#VALUE!</v>
      </c>
      <c r="BD130" s="71" t="str">
        <f>IF(OR(COUNTBLANK(BG130)=1,ISERROR(BG130)),"",COUNT(BG4:BG130))</f>
        <v/>
      </c>
      <c r="BE130" s="7" t="e">
        <f t="shared" si="81"/>
        <v>#VALUE!</v>
      </c>
      <c r="BF130" s="1" t="str">
        <f>IF(ISERROR(INDEX(C4:C8,MATCH(J130,D4:D8,0))),"",INDEX(C4:C8,MATCH(J130,D4:D8,0)))</f>
        <v/>
      </c>
      <c r="BG130" s="79" t="e">
        <f>IF(IF(COUNTIF(BG4:BG129,BG125)&gt;=MAX(D4:D8),BG125+5,BG125)&gt;50,"",IF(COUNTIF(BG4:BG129,BG125)&gt;=MAX(D4:D8),BG125+5,BG125))</f>
        <v>#VALUE!</v>
      </c>
      <c r="BH130" s="76" t="e">
        <f>IF(BG130="","",VLOOKUP(BG130,S4:U53,3,0))</f>
        <v>#VALUE!</v>
      </c>
      <c r="BI130" s="8" t="str">
        <f t="shared" si="82"/>
        <v/>
      </c>
      <c r="BP130" s="71" t="e">
        <f>IF(BT130="","",BT130*10+2)</f>
        <v>#VALUE!</v>
      </c>
      <c r="BQ130" s="71" t="str">
        <f>IF(OR(COUNTBLANK(BT130)=1,ISERROR(BT130)),"",COUNT(BT4:BT130))</f>
        <v/>
      </c>
      <c r="BR130" s="7" t="e">
        <f t="shared" si="84"/>
        <v>#VALUE!</v>
      </c>
      <c r="BS130" s="1" t="str">
        <f t="shared" si="85"/>
        <v/>
      </c>
      <c r="BT130" s="79" t="e">
        <f>IF(IF(COUNTIF($BT$4:BT129,BT129)&gt;=MAX($D$4:$D$8),BT129+1,BT129)&gt;55,"",IF(COUNTIF($BT$4:BT129,BT129)&gt;=MAX($D$4:$D$8),BT129+1,BT129))</f>
        <v>#VALUE!</v>
      </c>
      <c r="BU130" s="1" t="e">
        <f t="shared" si="86"/>
        <v>#VALUE!</v>
      </c>
      <c r="BV130" s="8" t="str">
        <f t="shared" si="87"/>
        <v/>
      </c>
      <c r="BX130" s="71" t="e">
        <f t="shared" si="88"/>
        <v>#VALUE!</v>
      </c>
      <c r="BY130" s="71" t="str">
        <f>IF(OR(COUNTBLANK(CB130)=1,ISERROR(CB130)),"",COUNT($CB$4:CB130))</f>
        <v/>
      </c>
      <c r="BZ130" s="7" t="e">
        <f t="shared" si="89"/>
        <v>#VALUE!</v>
      </c>
      <c r="CA130" s="1" t="str">
        <f t="shared" si="90"/>
        <v/>
      </c>
      <c r="CB130" s="79" t="e">
        <f>IF(IF(COUNTIF($CB$4:CB129,CB128)&gt;=MAX($D$4:$D$8),CB128+2,CB128)&gt;55,"",IF(COUNTIF($CB$4:CB129,CB128)&gt;=MAX($D$4:$D$8),CB128+2,CB128))</f>
        <v>#VALUE!</v>
      </c>
      <c r="CC130" s="1" t="e">
        <f t="shared" si="91"/>
        <v>#VALUE!</v>
      </c>
      <c r="CD130" s="8" t="str">
        <f t="shared" si="92"/>
        <v/>
      </c>
      <c r="CF130" s="71" t="e">
        <f t="shared" si="105"/>
        <v>#VALUE!</v>
      </c>
      <c r="CG130" s="71" t="str">
        <f>IF(OR(COUNTBLANK(CJ130)=1,ISERROR(CJ130)),"",COUNT($CJ$4:CJ130))</f>
        <v/>
      </c>
      <c r="CH130" s="7" t="e">
        <f t="shared" si="106"/>
        <v>#VALUE!</v>
      </c>
      <c r="CI130" s="1" t="str">
        <f t="shared" si="107"/>
        <v/>
      </c>
      <c r="CJ130" s="79" t="e">
        <f>IF(IF(COUNTIF($CJ$4:CJ129,CJ127)&gt;=MAX($D$4:$D$8),CJ127+3,CJ127)&gt;55,"",IF(COUNTIF($CJ$4:CJ129,CJ127)&gt;=MAX($D$4:$D$8),CJ127+3,CJ127))</f>
        <v>#VALUE!</v>
      </c>
      <c r="CK130" s="1" t="e">
        <f t="shared" si="93"/>
        <v>#VALUE!</v>
      </c>
      <c r="CL130" s="8" t="str">
        <f t="shared" si="108"/>
        <v/>
      </c>
      <c r="CN130" s="71" t="e">
        <f t="shared" si="99"/>
        <v>#VALUE!</v>
      </c>
      <c r="CO130" s="71" t="str">
        <f>IF(OR(COUNTBLANK(CR130)=1,ISERROR(CR130)),"",COUNT($CR$4:CR130))</f>
        <v/>
      </c>
      <c r="CP130" s="7" t="e">
        <f t="shared" si="100"/>
        <v>#VALUE!</v>
      </c>
      <c r="CQ130" s="1" t="str">
        <f t="shared" si="101"/>
        <v/>
      </c>
      <c r="CR130" s="79" t="e">
        <f>IF(IF(COUNTIF($CR$4:CR129,CR126)&gt;=MAX($D$4:$D$8),CR126+4,CR126)&gt;55,"",IF(COUNTIF($CR$4:CR129,CR126)&gt;=MAX($D$4:$D$8),CR126+4,CR126))</f>
        <v>#VALUE!</v>
      </c>
      <c r="CS130" s="1" t="e">
        <f t="shared" si="94"/>
        <v>#VALUE!</v>
      </c>
      <c r="CT130" s="8" t="str">
        <f t="shared" si="102"/>
        <v/>
      </c>
      <c r="CV130" s="71" t="e">
        <f t="shared" si="109"/>
        <v>#VALUE!</v>
      </c>
      <c r="CW130" s="71" t="str">
        <f>IF(OR(COUNTBLANK(CZ130)=1,ISERROR(CZ130)),"",COUNT($CZ$4:CZ130))</f>
        <v/>
      </c>
      <c r="CX130" s="7" t="e">
        <f t="shared" si="110"/>
        <v>#VALUE!</v>
      </c>
      <c r="CY130" s="1" t="str">
        <f t="shared" si="111"/>
        <v/>
      </c>
      <c r="CZ130" s="79" t="e">
        <f>IF(IF(COUNTIF($CZ$4:CZ129,CZ125)&gt;=MAX($D$4:$D$8),CZ125+5,CZ125)&gt;55,"",IF(COUNTIF($CZ$4:CZ129,CZ125)&gt;=MAX($D$4:$D$8),CZ125+5,CZ125))</f>
        <v>#VALUE!</v>
      </c>
      <c r="DA130" s="1" t="e">
        <f t="shared" si="95"/>
        <v>#VALUE!</v>
      </c>
      <c r="DB130" s="8" t="str">
        <f t="shared" si="112"/>
        <v/>
      </c>
    </row>
    <row r="131" spans="5:106" x14ac:dyDescent="0.15">
      <c r="E131" s="1">
        <v>128</v>
      </c>
      <c r="F131" s="1">
        <f t="shared" si="96"/>
        <v>1</v>
      </c>
      <c r="G131" s="1">
        <f t="shared" si="103"/>
        <v>1</v>
      </c>
      <c r="H131" s="1">
        <f t="shared" si="97"/>
        <v>1</v>
      </c>
      <c r="I131" s="1">
        <f t="shared" si="98"/>
        <v>1</v>
      </c>
      <c r="J131" s="1">
        <f t="shared" si="104"/>
        <v>1</v>
      </c>
      <c r="L131" s="1" t="str">
        <f>IF(ISERROR(HLOOKUP($C$10,$F$3:$J$253,129,0)),"",HLOOKUP($C$10,$F$3:$J$253,129,0))</f>
        <v/>
      </c>
      <c r="N131" s="67"/>
      <c r="W131" s="71" t="e">
        <f>IF(AA131="","",AA131*10+3)</f>
        <v>#VALUE!</v>
      </c>
      <c r="X131" s="71" t="str">
        <f>IF(OR(COUNTBLANK(AA131)=1,ISERROR(AA131)),"",COUNT(AA4:AA131))</f>
        <v/>
      </c>
      <c r="Y131" s="7" t="e">
        <f t="shared" si="69"/>
        <v>#VALUE!</v>
      </c>
      <c r="Z131" s="1" t="str">
        <f t="shared" si="83"/>
        <v/>
      </c>
      <c r="AA131" s="79" t="e">
        <f>IF(IF(COUNTIF(AA4:AA130,AA130)&gt;=MAX(D4:D8),AA130+1,AA130)&gt;50,"",IF(COUNTIF(AA4:AA130,AA130)&gt;=MAX(D4:D8),AA130+1,AA130))</f>
        <v>#VALUE!</v>
      </c>
      <c r="AB131" s="1" t="e">
        <f>IF(AA131="","",VLOOKUP(AA131,S4:U53,3,0))</f>
        <v>#VALUE!</v>
      </c>
      <c r="AC131" s="8" t="str">
        <f t="shared" si="70"/>
        <v/>
      </c>
      <c r="AE131" s="71" t="e">
        <f t="shared" si="71"/>
        <v>#VALUE!</v>
      </c>
      <c r="AF131" s="71" t="str">
        <f>IF(OR(COUNTBLANK(AI131)=1,ISERROR(AI131)),"",COUNT(AI4:AI131))</f>
        <v/>
      </c>
      <c r="AG131" s="7" t="e">
        <f t="shared" si="72"/>
        <v>#VALUE!</v>
      </c>
      <c r="AH131" s="1" t="str">
        <f>IF(ISERROR(INDEX(C4:C8,MATCH(G131,D4:D8,0))),"",INDEX(C4:C8,MATCH(G131,D4:D8,0)))</f>
        <v/>
      </c>
      <c r="AI131" s="79" t="e">
        <f>IF(IF(COUNTIF(AI4:AI129,AI129)&gt;=MAX(D4:D8),AI129+2,AI129)&gt;50,"",IF(COUNTIF(AI4:AI129,AI129)&gt;=MAX(D4:D8),AI129+2,AI129))</f>
        <v>#VALUE!</v>
      </c>
      <c r="AJ131" s="1" t="e">
        <f>IF(AI131="","",VLOOKUP(AI131,S4:U53,3,0))</f>
        <v>#VALUE!</v>
      </c>
      <c r="AK131" s="8" t="str">
        <f t="shared" si="73"/>
        <v/>
      </c>
      <c r="AM131" s="71" t="e">
        <f t="shared" si="74"/>
        <v>#VALUE!</v>
      </c>
      <c r="AN131" s="71" t="str">
        <f>IF(OR(COUNTBLANK(AQ131)=1,ISERROR(AQ131)),"",COUNT(AQ4:AQ131))</f>
        <v/>
      </c>
      <c r="AO131" s="7" t="e">
        <f t="shared" si="75"/>
        <v>#VALUE!</v>
      </c>
      <c r="AP131" s="1" t="str">
        <f>IF(ISERROR(INDEX(C4:C8,MATCH(H131,D4:D8,0))),"",INDEX(C4:C8,MATCH(H131,D4:D8,0)))</f>
        <v/>
      </c>
      <c r="AQ131" s="79" t="e">
        <f>IF(IF(COUNTIF(AQ4:AQ130,AQ128)&gt;=MAX(D4:D8),AQ128+3,AQ128)&gt;50,"",IF(COUNTIF(AQ4:AQ130,AQ128)&gt;=MAX(D4:D8),AQ128+3,AQ128))</f>
        <v>#VALUE!</v>
      </c>
      <c r="AR131" s="1" t="e">
        <f>IF(AQ131="","",VLOOKUP(AQ131,S4:U53,3,0))</f>
        <v>#VALUE!</v>
      </c>
      <c r="AS131" s="8" t="str">
        <f t="shared" si="76"/>
        <v/>
      </c>
      <c r="AU131" s="71" t="e">
        <f t="shared" si="77"/>
        <v>#VALUE!</v>
      </c>
      <c r="AV131" s="71" t="str">
        <f>IF(OR(COUNTBLANK(AY131)=1,ISERROR(AY131)),"",COUNT(AY4:AY131))</f>
        <v/>
      </c>
      <c r="AW131" s="7" t="e">
        <f t="shared" si="78"/>
        <v>#VALUE!</v>
      </c>
      <c r="AX131" s="1" t="str">
        <f>IF(ISERROR(INDEX(C4:C8,MATCH(I131,D4:D8,0))),"",INDEX(C4:C8,MATCH(I131,D4:D8,0)))</f>
        <v/>
      </c>
      <c r="AY131" s="79" t="e">
        <f>IF(IF(COUNTIF(AY4:AY130,AY127)&gt;=MAX(D4:D8),AY127+4,AY127)&gt;50,"",IF(COUNTIF(AY4:AY130,AY127)&gt;=MAX(D4:D8),AY127+4,AY127))</f>
        <v>#VALUE!</v>
      </c>
      <c r="AZ131" s="76" t="e">
        <f>IF(AY131="","",VLOOKUP(AY131,S4:U53,3,0))</f>
        <v>#VALUE!</v>
      </c>
      <c r="BA131" s="8" t="str">
        <f t="shared" si="79"/>
        <v/>
      </c>
      <c r="BC131" s="71" t="e">
        <f t="shared" si="80"/>
        <v>#VALUE!</v>
      </c>
      <c r="BD131" s="71" t="str">
        <f>IF(OR(COUNTBLANK(BG131)=1,ISERROR(BG131)),"",COUNT(BG4:BG131))</f>
        <v/>
      </c>
      <c r="BE131" s="7" t="e">
        <f t="shared" si="81"/>
        <v>#VALUE!</v>
      </c>
      <c r="BF131" s="1" t="str">
        <f>IF(ISERROR(INDEX(C4:C8,MATCH(J131,D4:D8,0))),"",INDEX(C4:C8,MATCH(J131,D4:D8,0)))</f>
        <v/>
      </c>
      <c r="BG131" s="79" t="e">
        <f>IF(IF(COUNTIF(BG4:BG130,BG126)&gt;=MAX(D4:D8),BG126+5,BG126)&gt;50,"",IF(COUNTIF(BG4:BG130,BG126)&gt;=MAX(D4:D8),BG126+5,BG126))</f>
        <v>#VALUE!</v>
      </c>
      <c r="BH131" s="76" t="e">
        <f>IF(BG131="","",VLOOKUP(BG131,S4:U53,3,0))</f>
        <v>#VALUE!</v>
      </c>
      <c r="BI131" s="8" t="str">
        <f t="shared" si="82"/>
        <v/>
      </c>
      <c r="BP131" s="71" t="e">
        <f>IF(BT131="","",BT131*10+3)</f>
        <v>#VALUE!</v>
      </c>
      <c r="BQ131" s="71" t="str">
        <f>IF(OR(COUNTBLANK(BT131)=1,ISERROR(BT131)),"",COUNT(BT4:BT131))</f>
        <v/>
      </c>
      <c r="BR131" s="7" t="e">
        <f t="shared" si="84"/>
        <v>#VALUE!</v>
      </c>
      <c r="BS131" s="1" t="str">
        <f t="shared" si="85"/>
        <v/>
      </c>
      <c r="BT131" s="79" t="e">
        <f>IF(IF(COUNTIF($BT$4:BT130,BT130)&gt;=MAX($D$4:$D$8),BT130+1,BT130)&gt;55,"",IF(COUNTIF($BT$4:BT130,BT130)&gt;=MAX($D$4:$D$8),BT130+1,BT130))</f>
        <v>#VALUE!</v>
      </c>
      <c r="BU131" s="1" t="e">
        <f t="shared" si="86"/>
        <v>#VALUE!</v>
      </c>
      <c r="BV131" s="8" t="str">
        <f t="shared" si="87"/>
        <v/>
      </c>
      <c r="BX131" s="71" t="e">
        <f t="shared" si="88"/>
        <v>#VALUE!</v>
      </c>
      <c r="BY131" s="71" t="str">
        <f>IF(OR(COUNTBLANK(CB131)=1,ISERROR(CB131)),"",COUNT($CB$4:CB131))</f>
        <v/>
      </c>
      <c r="BZ131" s="7" t="e">
        <f t="shared" si="89"/>
        <v>#VALUE!</v>
      </c>
      <c r="CA131" s="1" t="str">
        <f t="shared" si="90"/>
        <v/>
      </c>
      <c r="CB131" s="79" t="e">
        <f>IF(IF(COUNTIF($CB$4:CB130,CB129)&gt;=MAX($D$4:$D$8),CB129+2,CB129)&gt;55,"",IF(COUNTIF($CB$4:CB130,CB129)&gt;=MAX($D$4:$D$8),CB129+2,CB129))</f>
        <v>#VALUE!</v>
      </c>
      <c r="CC131" s="1" t="e">
        <f t="shared" si="91"/>
        <v>#VALUE!</v>
      </c>
      <c r="CD131" s="8" t="str">
        <f t="shared" si="92"/>
        <v/>
      </c>
      <c r="CF131" s="71" t="e">
        <f t="shared" si="105"/>
        <v>#VALUE!</v>
      </c>
      <c r="CG131" s="71" t="str">
        <f>IF(OR(COUNTBLANK(CJ131)=1,ISERROR(CJ131)),"",COUNT($CJ$4:CJ131))</f>
        <v/>
      </c>
      <c r="CH131" s="7" t="e">
        <f t="shared" si="106"/>
        <v>#VALUE!</v>
      </c>
      <c r="CI131" s="1" t="str">
        <f t="shared" si="107"/>
        <v/>
      </c>
      <c r="CJ131" s="79" t="e">
        <f>IF(IF(COUNTIF($CJ$4:CJ130,CJ128)&gt;=MAX($D$4:$D$8),CJ128+3,CJ128)&gt;55,"",IF(COUNTIF($CJ$4:CJ130,CJ128)&gt;=MAX($D$4:$D$8),CJ128+3,CJ128))</f>
        <v>#VALUE!</v>
      </c>
      <c r="CK131" s="1" t="e">
        <f t="shared" si="93"/>
        <v>#VALUE!</v>
      </c>
      <c r="CL131" s="8" t="str">
        <f t="shared" si="108"/>
        <v/>
      </c>
      <c r="CN131" s="71" t="e">
        <f t="shared" si="99"/>
        <v>#VALUE!</v>
      </c>
      <c r="CO131" s="71" t="str">
        <f>IF(OR(COUNTBLANK(CR131)=1,ISERROR(CR131)),"",COUNT($CR$4:CR131))</f>
        <v/>
      </c>
      <c r="CP131" s="7" t="e">
        <f t="shared" si="100"/>
        <v>#VALUE!</v>
      </c>
      <c r="CQ131" s="1" t="str">
        <f t="shared" si="101"/>
        <v/>
      </c>
      <c r="CR131" s="79" t="e">
        <f>IF(IF(COUNTIF($CR$4:CR130,CR127)&gt;=MAX($D$4:$D$8),CR127+4,CR127)&gt;55,"",IF(COUNTIF($CR$4:CR130,CR127)&gt;=MAX($D$4:$D$8),CR127+4,CR127))</f>
        <v>#VALUE!</v>
      </c>
      <c r="CS131" s="1" t="e">
        <f t="shared" si="94"/>
        <v>#VALUE!</v>
      </c>
      <c r="CT131" s="8" t="str">
        <f t="shared" si="102"/>
        <v/>
      </c>
      <c r="CV131" s="71" t="e">
        <f t="shared" si="109"/>
        <v>#VALUE!</v>
      </c>
      <c r="CW131" s="71" t="str">
        <f>IF(OR(COUNTBLANK(CZ131)=1,ISERROR(CZ131)),"",COUNT($CZ$4:CZ131))</f>
        <v/>
      </c>
      <c r="CX131" s="7" t="e">
        <f t="shared" si="110"/>
        <v>#VALUE!</v>
      </c>
      <c r="CY131" s="1" t="str">
        <f t="shared" si="111"/>
        <v/>
      </c>
      <c r="CZ131" s="79" t="e">
        <f>IF(IF(COUNTIF($CZ$4:CZ130,CZ126)&gt;=MAX($D$4:$D$8),CZ126+5,CZ126)&gt;55,"",IF(COUNTIF($CZ$4:CZ130,CZ126)&gt;=MAX($D$4:$D$8),CZ126+5,CZ126))</f>
        <v>#VALUE!</v>
      </c>
      <c r="DA131" s="1" t="e">
        <f t="shared" si="95"/>
        <v>#VALUE!</v>
      </c>
      <c r="DB131" s="8" t="str">
        <f t="shared" si="112"/>
        <v/>
      </c>
    </row>
    <row r="132" spans="5:106" x14ac:dyDescent="0.15">
      <c r="E132" s="1">
        <v>129</v>
      </c>
      <c r="F132" s="1">
        <f t="shared" si="96"/>
        <v>1</v>
      </c>
      <c r="G132" s="1">
        <f t="shared" si="103"/>
        <v>1</v>
      </c>
      <c r="H132" s="1">
        <f t="shared" si="97"/>
        <v>1</v>
      </c>
      <c r="I132" s="1">
        <f t="shared" si="98"/>
        <v>1</v>
      </c>
      <c r="J132" s="1">
        <f t="shared" si="104"/>
        <v>1</v>
      </c>
      <c r="L132" s="1" t="str">
        <f>IF(ISERROR(HLOOKUP($C$10,$F$3:$J$253,130,0)),"",HLOOKUP($C$10,$F$3:$J$253,130,0))</f>
        <v/>
      </c>
      <c r="N132" s="67"/>
      <c r="W132" s="71" t="e">
        <f>IF(AA132="","",AA132*10+4)</f>
        <v>#VALUE!</v>
      </c>
      <c r="X132" s="71" t="str">
        <f>IF(OR(COUNTBLANK(AA132)=1,ISERROR(AA132)),"",COUNT(AA4:AA132))</f>
        <v/>
      </c>
      <c r="Y132" s="7" t="e">
        <f t="shared" ref="Y132:Y195" si="113">IF(AA132&gt;20,"ナビ・","1・2年のナビ・")</f>
        <v>#VALUE!</v>
      </c>
      <c r="Z132" s="1" t="str">
        <f t="shared" si="83"/>
        <v/>
      </c>
      <c r="AA132" s="79" t="e">
        <f>IF(IF(COUNTIF(AA4:AA131,AA131)&gt;=MAX(D4:D8),AA131+1,AA131)&gt;50,"",IF(COUNTIF(AA4:AA131,AA131)&gt;=MAX(D4:D8),AA131+1,AA131))</f>
        <v>#VALUE!</v>
      </c>
      <c r="AB132" s="1" t="e">
        <f>IF(AA132="","",VLOOKUP(AA132,S4:U53,3,0))</f>
        <v>#VALUE!</v>
      </c>
      <c r="AC132" s="8" t="str">
        <f t="shared" ref="AC132:AC195" si="114">IF(ISERROR(IF(COUNTIF(Z132:AB132,"")&gt;=1,"",Y132&amp;Z132&amp;"【"&amp;IF(AA132&gt;20,AA132-20,AA132)&amp;"】"&amp;AB132)),"",IF(COUNTIF(Z132:AB132,"")&gt;=1,"",Y132&amp;Z132&amp;"【"&amp;IF(AA132&gt;20,AA132-20,AA132)&amp;"】"&amp;AB132))</f>
        <v/>
      </c>
      <c r="AE132" s="71" t="e">
        <f t="shared" ref="AE132:AE195" si="115">IF(AI132="","",AI132*10+G132)</f>
        <v>#VALUE!</v>
      </c>
      <c r="AF132" s="71" t="str">
        <f>IF(OR(COUNTBLANK(AI132)=1,ISERROR(AI132)),"",COUNT(AI4:AI132))</f>
        <v/>
      </c>
      <c r="AG132" s="7" t="e">
        <f t="shared" ref="AG132:AG195" si="116">IF(AI132&gt;20,"ナビ・","1・2年のナビ・")</f>
        <v>#VALUE!</v>
      </c>
      <c r="AH132" s="1" t="str">
        <f>IF(ISERROR(INDEX(C4:C8,MATCH(G132,D4:D8,0))),"",INDEX(C4:C8,MATCH(G132,D4:D8,0)))</f>
        <v/>
      </c>
      <c r="AI132" s="79" t="e">
        <f>IF(IF(COUNTIF(AI4:AI131,AI130)&gt;=MAX(D4:D8),AI130+2,AI130)&gt;50,"",IF(COUNTIF(AI4:AI131,AI130)&gt;=MAX(D4:D8),AI130+2,AI130))</f>
        <v>#VALUE!</v>
      </c>
      <c r="AJ132" s="1" t="e">
        <f>IF(AI132="","",VLOOKUP(AI132,S4:U53,3,0))</f>
        <v>#VALUE!</v>
      </c>
      <c r="AK132" s="8" t="str">
        <f t="shared" ref="AK132:AK195" si="117">IF(ISERROR(IF(COUNTIF(AH132:AJ132,"")&gt;=1,"",AG132&amp;AH132&amp;"【"&amp;IF(AI132&gt;20,AI132-20,AI132)&amp;"】"&amp;AJ132)),"",IF(COUNTIF(AH132:AJ132,"")&gt;=1,"",AG132&amp;AH132&amp;"【"&amp;IF(AI132&gt;20,AI132-20,AI132)&amp;"】"&amp;AJ132))</f>
        <v/>
      </c>
      <c r="AM132" s="71" t="e">
        <f t="shared" ref="AM132:AM195" si="118">IF(AQ132="","",AQ132*10+H132)</f>
        <v>#VALUE!</v>
      </c>
      <c r="AN132" s="71" t="str">
        <f>IF(OR(COUNTBLANK(AQ132)=1,ISERROR(AQ132)),"",COUNT(AQ4:AQ132))</f>
        <v/>
      </c>
      <c r="AO132" s="7" t="e">
        <f t="shared" ref="AO132:AO195" si="119">IF(AQ132&gt;20,"ナビ・","1・2年のナビ・")</f>
        <v>#VALUE!</v>
      </c>
      <c r="AP132" s="1" t="str">
        <f>IF(ISERROR(INDEX(C4:C8,MATCH(H132,D4:D8,0))),"",INDEX(C4:C8,MATCH(H132,D4:D8,0)))</f>
        <v/>
      </c>
      <c r="AQ132" s="79" t="e">
        <f>IF(IF(COUNTIF(AQ4:AQ131,AQ129)&gt;=MAX(D4:D8),AQ129+3,AQ129)&gt;50,"",IF(COUNTIF(AQ4:AQ131,AQ129)&gt;=MAX(D4:D8),AQ129+3,AQ129))</f>
        <v>#VALUE!</v>
      </c>
      <c r="AR132" s="1" t="e">
        <f>IF(AQ132="","",VLOOKUP(AQ132,S4:U53,3,0))</f>
        <v>#VALUE!</v>
      </c>
      <c r="AS132" s="8" t="str">
        <f t="shared" ref="AS132:AS195" si="120">IF(ISERROR(IF(COUNTIF(AP132:AR132,"")&gt;=1,"",AO132&amp;AP132&amp;"【"&amp;IF(AQ132&gt;20,AQ132-20,AQ132)&amp;"】"&amp;AR132)),"",IF(COUNTIF(AP132:AR132,"")&gt;=1,"",AO132&amp;AP132&amp;"【"&amp;IF(AQ132&gt;20,AQ132-20,AQ132)&amp;"】"&amp;AR132))</f>
        <v/>
      </c>
      <c r="AU132" s="71" t="e">
        <f t="shared" ref="AU132:AU195" si="121">IF(AY132="","",AY132*10+I132)</f>
        <v>#VALUE!</v>
      </c>
      <c r="AV132" s="71" t="str">
        <f>IF(OR(COUNTBLANK(AY132)=1,ISERROR(AY132)),"",COUNT(AY4:AY132))</f>
        <v/>
      </c>
      <c r="AW132" s="7" t="e">
        <f t="shared" ref="AW132:AW195" si="122">IF(AY132&gt;20,"ナビ・","1・2年のナビ・")</f>
        <v>#VALUE!</v>
      </c>
      <c r="AX132" s="1" t="str">
        <f>IF(ISERROR(INDEX(C4:C8,MATCH(I132,D4:D8,0))),"",INDEX(C4:C8,MATCH(I132,D4:D8,0)))</f>
        <v/>
      </c>
      <c r="AY132" s="79" t="e">
        <f>IF(IF(COUNTIF(AY4:AY131,AY128)&gt;=MAX(D4:D8),AY128+4,AY128)&gt;50,"",IF(COUNTIF(AY4:AY131,AY128)&gt;=MAX(D4:D8),AY128+4,AY128))</f>
        <v>#VALUE!</v>
      </c>
      <c r="AZ132" s="76" t="e">
        <f>IF(AY132="","",VLOOKUP(AY132,S4:U53,3,0))</f>
        <v>#VALUE!</v>
      </c>
      <c r="BA132" s="8" t="str">
        <f t="shared" ref="BA132:BA195" si="123">IF(ISERROR(IF(COUNTIF(AX132:AZ132,"")&gt;=1,"",AW132&amp;AX132&amp;"【"&amp;IF(AY132&gt;20,AY132-20,AY132)&amp;"】"&amp;AZ132)),"",IF(COUNTIF(AX132:AZ132,"")&gt;=1,"",AW132&amp;AX132&amp;"【"&amp;IF(AY132&gt;20,AY132-20,AY132)&amp;"】"&amp;AZ132))</f>
        <v/>
      </c>
      <c r="BC132" s="71" t="e">
        <f t="shared" ref="BC132:BC195" si="124">IF(BG132="","",BG132*10+J132)</f>
        <v>#VALUE!</v>
      </c>
      <c r="BD132" s="71" t="str">
        <f>IF(OR(COUNTBLANK(BG132)=1,ISERROR(BG132)),"",COUNT(BG4:BG132))</f>
        <v/>
      </c>
      <c r="BE132" s="7" t="e">
        <f t="shared" ref="BE132:BE195" si="125">IF(BG132&gt;20,"ナビ・","1・2年のナビ・")</f>
        <v>#VALUE!</v>
      </c>
      <c r="BF132" s="1" t="str">
        <f>IF(ISERROR(INDEX(C4:C8,MATCH(J132,D4:D8,0))),"",INDEX(C4:C8,MATCH(J132,D4:D8,0)))</f>
        <v/>
      </c>
      <c r="BG132" s="79" t="e">
        <f>IF(IF(COUNTIF(BG4:BG131,BG127)&gt;=MAX(D4:D8),BG127+5,BG127)&gt;50,"",IF(COUNTIF(BG4:BG131,BG127)&gt;=MAX(D4:D8),BG127+5,BG127))</f>
        <v>#VALUE!</v>
      </c>
      <c r="BH132" s="76" t="e">
        <f>IF(BG132="","",VLOOKUP(BG132,S4:U53,3,0))</f>
        <v>#VALUE!</v>
      </c>
      <c r="BI132" s="8" t="str">
        <f t="shared" ref="BI132:BI195" si="126">IF(ISERROR(IF(COUNTIF(BF132:BH132,"")&gt;=1,"",BE132&amp;BF132&amp;"【"&amp;IF(BG132&gt;20,BG132-20,BG132)&amp;"】"&amp;BH132)),"",IF(COUNTIF(BF132:BH132,"")&gt;=1,"",BE132&amp;BF132&amp;"【"&amp;IF(BG132&gt;20,BG132-20,BG132)&amp;"】"&amp;BH132))</f>
        <v/>
      </c>
      <c r="BP132" s="71" t="e">
        <f>IF(BT132="","",BT132*10+4)</f>
        <v>#VALUE!</v>
      </c>
      <c r="BQ132" s="71" t="str">
        <f>IF(OR(COUNTBLANK(BT132)=1,ISERROR(BT132)),"",COUNT(BT4:BT132))</f>
        <v/>
      </c>
      <c r="BR132" s="7" t="e">
        <f t="shared" si="84"/>
        <v>#VALUE!</v>
      </c>
      <c r="BS132" s="1" t="str">
        <f t="shared" si="85"/>
        <v/>
      </c>
      <c r="BT132" s="79" t="e">
        <f>IF(IF(COUNTIF($BT$4:BT131,BT131)&gt;=MAX($D$4:$D$8),BT131+1,BT131)&gt;55,"",IF(COUNTIF($BT$4:BT131,BT131)&gt;=MAX($D$4:$D$8),BT131+1,BT131))</f>
        <v>#VALUE!</v>
      </c>
      <c r="BU132" s="1" t="e">
        <f t="shared" si="86"/>
        <v>#VALUE!</v>
      </c>
      <c r="BV132" s="8" t="str">
        <f t="shared" si="87"/>
        <v/>
      </c>
      <c r="BX132" s="71" t="e">
        <f t="shared" si="88"/>
        <v>#VALUE!</v>
      </c>
      <c r="BY132" s="71" t="str">
        <f>IF(OR(COUNTBLANK(CB132)=1,ISERROR(CB132)),"",COUNT($CB$4:CB132))</f>
        <v/>
      </c>
      <c r="BZ132" s="7" t="e">
        <f t="shared" si="89"/>
        <v>#VALUE!</v>
      </c>
      <c r="CA132" s="1" t="str">
        <f t="shared" si="90"/>
        <v/>
      </c>
      <c r="CB132" s="79" t="e">
        <f>IF(IF(COUNTIF($CB$4:CB131,CB130)&gt;=MAX($D$4:$D$8),CB130+2,CB130)&gt;55,"",IF(COUNTIF($CB$4:CB131,CB130)&gt;=MAX($D$4:$D$8),CB130+2,CB130))</f>
        <v>#VALUE!</v>
      </c>
      <c r="CC132" s="1" t="e">
        <f t="shared" si="91"/>
        <v>#VALUE!</v>
      </c>
      <c r="CD132" s="8" t="str">
        <f t="shared" si="92"/>
        <v/>
      </c>
      <c r="CF132" s="71" t="e">
        <f t="shared" si="105"/>
        <v>#VALUE!</v>
      </c>
      <c r="CG132" s="71" t="str">
        <f>IF(OR(COUNTBLANK(CJ132)=1,ISERROR(CJ132)),"",COUNT($CJ$4:CJ132))</f>
        <v/>
      </c>
      <c r="CH132" s="7" t="e">
        <f t="shared" si="106"/>
        <v>#VALUE!</v>
      </c>
      <c r="CI132" s="1" t="str">
        <f t="shared" si="107"/>
        <v/>
      </c>
      <c r="CJ132" s="79" t="e">
        <f>IF(IF(COUNTIF($CJ$4:CJ131,CJ129)&gt;=MAX($D$4:$D$8),CJ129+3,CJ129)&gt;55,"",IF(COUNTIF($CJ$4:CJ131,CJ129)&gt;=MAX($D$4:$D$8),CJ129+3,CJ129))</f>
        <v>#VALUE!</v>
      </c>
      <c r="CK132" s="1" t="e">
        <f t="shared" si="93"/>
        <v>#VALUE!</v>
      </c>
      <c r="CL132" s="8" t="str">
        <f t="shared" si="108"/>
        <v/>
      </c>
      <c r="CN132" s="71" t="e">
        <f t="shared" si="99"/>
        <v>#VALUE!</v>
      </c>
      <c r="CO132" s="71" t="str">
        <f>IF(OR(COUNTBLANK(CR132)=1,ISERROR(CR132)),"",COUNT($CR$4:CR132))</f>
        <v/>
      </c>
      <c r="CP132" s="7" t="e">
        <f t="shared" si="100"/>
        <v>#VALUE!</v>
      </c>
      <c r="CQ132" s="1" t="str">
        <f t="shared" si="101"/>
        <v/>
      </c>
      <c r="CR132" s="79" t="e">
        <f>IF(IF(COUNTIF($CR$4:CR131,CR128)&gt;=MAX($D$4:$D$8),CR128+4,CR128)&gt;55,"",IF(COUNTIF($CR$4:CR131,CR128)&gt;=MAX($D$4:$D$8),CR128+4,CR128))</f>
        <v>#VALUE!</v>
      </c>
      <c r="CS132" s="1" t="e">
        <f t="shared" si="94"/>
        <v>#VALUE!</v>
      </c>
      <c r="CT132" s="8" t="str">
        <f t="shared" si="102"/>
        <v/>
      </c>
      <c r="CV132" s="71" t="e">
        <f t="shared" si="109"/>
        <v>#VALUE!</v>
      </c>
      <c r="CW132" s="71" t="str">
        <f>IF(OR(COUNTBLANK(CZ132)=1,ISERROR(CZ132)),"",COUNT($CZ$4:CZ132))</f>
        <v/>
      </c>
      <c r="CX132" s="7" t="e">
        <f t="shared" si="110"/>
        <v>#VALUE!</v>
      </c>
      <c r="CY132" s="1" t="str">
        <f t="shared" si="111"/>
        <v/>
      </c>
      <c r="CZ132" s="79" t="e">
        <f>IF(IF(COUNTIF($CZ$4:CZ131,CZ127)&gt;=MAX($D$4:$D$8),CZ127+5,CZ127)&gt;55,"",IF(COUNTIF($CZ$4:CZ131,CZ127)&gt;=MAX($D$4:$D$8),CZ127+5,CZ127))</f>
        <v>#VALUE!</v>
      </c>
      <c r="DA132" s="1" t="e">
        <f t="shared" si="95"/>
        <v>#VALUE!</v>
      </c>
      <c r="DB132" s="8" t="str">
        <f t="shared" si="112"/>
        <v/>
      </c>
    </row>
    <row r="133" spans="5:106" x14ac:dyDescent="0.15">
      <c r="E133" s="1">
        <v>130</v>
      </c>
      <c r="F133" s="1">
        <f t="shared" si="96"/>
        <v>1</v>
      </c>
      <c r="G133" s="1">
        <f t="shared" si="103"/>
        <v>1</v>
      </c>
      <c r="H133" s="1">
        <f t="shared" si="97"/>
        <v>1</v>
      </c>
      <c r="I133" s="1">
        <f t="shared" si="98"/>
        <v>1</v>
      </c>
      <c r="J133" s="1">
        <f t="shared" si="104"/>
        <v>1</v>
      </c>
      <c r="L133" s="1" t="str">
        <f>IF(ISERROR(HLOOKUP($C$10,$F$3:$J$253,131,0)),"",HLOOKUP($C$10,$F$3:$J$253,131,0))</f>
        <v/>
      </c>
      <c r="N133" s="67"/>
      <c r="W133" s="71" t="e">
        <f>IF(AA133="","",AA133*10+5)</f>
        <v>#VALUE!</v>
      </c>
      <c r="X133" s="71" t="str">
        <f>IF(OR(COUNTBLANK(AA133)=1,ISERROR(AA133)),"",COUNT(AA4:AA133))</f>
        <v/>
      </c>
      <c r="Y133" s="7" t="e">
        <f t="shared" si="113"/>
        <v>#VALUE!</v>
      </c>
      <c r="Z133" s="1" t="str">
        <f t="shared" ref="Z133:Z196" si="127">IF(ISERROR(INDEX($C$4:$C$8,MATCH(F133,$D$4:$D$8,0))),"",INDEX($C$4:$C$8,MATCH(F133,$D$4:$D$8,0)))</f>
        <v/>
      </c>
      <c r="AA133" s="79" t="e">
        <f>IF(IF(COUNTIF(AA4:AA132,AA132)&gt;=MAX(D4:D8),AA132+1,AA132)&gt;50,"",IF(COUNTIF(AA4:AA132,AA132)&gt;=MAX(D4:D8),AA132+1,AA132))</f>
        <v>#VALUE!</v>
      </c>
      <c r="AB133" s="1" t="e">
        <f>IF(AA133="","",VLOOKUP(AA133,S4:U53,3,0))</f>
        <v>#VALUE!</v>
      </c>
      <c r="AC133" s="8" t="str">
        <f t="shared" si="114"/>
        <v/>
      </c>
      <c r="AE133" s="71" t="e">
        <f t="shared" si="115"/>
        <v>#VALUE!</v>
      </c>
      <c r="AF133" s="71" t="str">
        <f>IF(OR(COUNTBLANK(AI133)=1,ISERROR(AI133)),"",COUNT(AI4:AI133))</f>
        <v/>
      </c>
      <c r="AG133" s="7" t="e">
        <f t="shared" si="116"/>
        <v>#VALUE!</v>
      </c>
      <c r="AH133" s="1" t="str">
        <f>IF(ISERROR(INDEX(C4:C8,MATCH(G133,D4:D8,0))),"",INDEX(C4:C8,MATCH(G133,D4:D8,0)))</f>
        <v/>
      </c>
      <c r="AI133" s="79" t="e">
        <f>IF(IF(COUNTIF(AI4:AI131,AI131)&gt;=MAX(D4:D8),AI131+2,AI131)&gt;50,"",IF(COUNTIF(AI4:AI131,AI131)&gt;=MAX(D4:D8),AI131+2,AI131))</f>
        <v>#VALUE!</v>
      </c>
      <c r="AJ133" s="1" t="e">
        <f>IF(AI133="","",VLOOKUP(AI133,S4:U53,3,0))</f>
        <v>#VALUE!</v>
      </c>
      <c r="AK133" s="8" t="str">
        <f t="shared" si="117"/>
        <v/>
      </c>
      <c r="AM133" s="71" t="e">
        <f t="shared" si="118"/>
        <v>#VALUE!</v>
      </c>
      <c r="AN133" s="71" t="str">
        <f>IF(OR(COUNTBLANK(AQ133)=1,ISERROR(AQ133)),"",COUNT(AQ4:AQ133))</f>
        <v/>
      </c>
      <c r="AO133" s="7" t="e">
        <f t="shared" si="119"/>
        <v>#VALUE!</v>
      </c>
      <c r="AP133" s="1" t="str">
        <f>IF(ISERROR(INDEX(C4:C8,MATCH(H133,D4:D8,0))),"",INDEX(C4:C8,MATCH(H133,D4:D8,0)))</f>
        <v/>
      </c>
      <c r="AQ133" s="79" t="e">
        <f>IF(IF(COUNTIF(AQ4:AQ132,AQ130)&gt;=MAX(D4:D8),AQ130+3,AQ130)&gt;50,"",IF(COUNTIF(AQ4:AQ132,AQ130)&gt;=MAX(D4:D8),AQ130+3,AQ130))</f>
        <v>#VALUE!</v>
      </c>
      <c r="AR133" s="1" t="e">
        <f>IF(AQ133="","",VLOOKUP(AQ133,S4:U53,3,0))</f>
        <v>#VALUE!</v>
      </c>
      <c r="AS133" s="8" t="str">
        <f t="shared" si="120"/>
        <v/>
      </c>
      <c r="AU133" s="71" t="e">
        <f t="shared" si="121"/>
        <v>#VALUE!</v>
      </c>
      <c r="AV133" s="71" t="str">
        <f>IF(OR(COUNTBLANK(AY133)=1,ISERROR(AY133)),"",COUNT(AY4:AY133))</f>
        <v/>
      </c>
      <c r="AW133" s="7" t="e">
        <f t="shared" si="122"/>
        <v>#VALUE!</v>
      </c>
      <c r="AX133" s="1" t="str">
        <f>IF(ISERROR(INDEX(C4:C8,MATCH(I133,D4:D8,0))),"",INDEX(C4:C8,MATCH(I133,D4:D8,0)))</f>
        <v/>
      </c>
      <c r="AY133" s="79" t="e">
        <f>IF(IF(COUNTIF(AY4:AY132,AY129)&gt;=MAX(D4:D8),AY129+4,AY129)&gt;50,"",IF(COUNTIF(AY4:AY132,AY129)&gt;=MAX(D4:D8),AY129+4,AY129))</f>
        <v>#VALUE!</v>
      </c>
      <c r="AZ133" s="76" t="e">
        <f>IF(AY133="","",VLOOKUP(AY133,S4:U53,3,0))</f>
        <v>#VALUE!</v>
      </c>
      <c r="BA133" s="8" t="str">
        <f t="shared" si="123"/>
        <v/>
      </c>
      <c r="BC133" s="71" t="e">
        <f t="shared" si="124"/>
        <v>#VALUE!</v>
      </c>
      <c r="BD133" s="71" t="str">
        <f>IF(OR(COUNTBLANK(BG133)=1,ISERROR(BG133)),"",COUNT(BG4:BG133))</f>
        <v/>
      </c>
      <c r="BE133" s="7" t="e">
        <f t="shared" si="125"/>
        <v>#VALUE!</v>
      </c>
      <c r="BF133" s="1" t="str">
        <f>IF(ISERROR(INDEX(C4:C8,MATCH(J133,D4:D8,0))),"",INDEX(C4:C8,MATCH(J133,D4:D8,0)))</f>
        <v/>
      </c>
      <c r="BG133" s="79" t="e">
        <f>IF(IF(COUNTIF(BG4:BG132,BG128)&gt;=MAX(D4:D8),BG128+5,BG128)&gt;50,"",IF(COUNTIF(BG4:BG132,BG128)&gt;=MAX(D4:D8),BG128+5,BG128))</f>
        <v>#VALUE!</v>
      </c>
      <c r="BH133" s="76" t="e">
        <f>IF(BG133="","",VLOOKUP(BG133,S4:U53,3,0))</f>
        <v>#VALUE!</v>
      </c>
      <c r="BI133" s="8" t="str">
        <f t="shared" si="126"/>
        <v/>
      </c>
      <c r="BP133" s="71" t="e">
        <f>IF(BT133="","",BT133*10+5)</f>
        <v>#VALUE!</v>
      </c>
      <c r="BQ133" s="71" t="str">
        <f>IF(OR(COUNTBLANK(BT133)=1,ISERROR(BT133)),"",COUNT(BT4:BT133))</f>
        <v/>
      </c>
      <c r="BR133" s="7" t="e">
        <f t="shared" ref="BR133:BR196" si="128">IF(BT133&gt;25,"ナビ・","1・2年のWナビ・")</f>
        <v>#VALUE!</v>
      </c>
      <c r="BS133" s="1" t="str">
        <f t="shared" ref="BS133:BS196" si="129">IF(ISERROR(INDEX($C$4:$C$8,MATCH(F133,$D$4:$D$8,0))),"",INDEX($C$4:$C$8,MATCH(F133,$D$4:$D$8,0)))</f>
        <v/>
      </c>
      <c r="BT133" s="79" t="e">
        <f>IF(IF(COUNTIF($BT$4:BT132,BT132)&gt;=MAX($D$4:$D$8),BT132+1,BT132)&gt;55,"",IF(COUNTIF($BT$4:BT132,BT132)&gt;=MAX($D$4:$D$8),BT132+1,BT132))</f>
        <v>#VALUE!</v>
      </c>
      <c r="BU133" s="1" t="e">
        <f t="shared" ref="BU133:BU196" si="130">IF(BT133="","",VLOOKUP(BT133,$BL$4:$BN$58,3,0))</f>
        <v>#VALUE!</v>
      </c>
      <c r="BV133" s="8" t="str">
        <f t="shared" ref="BV133:BV196" si="131">IF(ISERROR(IF(COUNTIF(BS133:BU133,"")&gt;=1,"",BR133&amp;BS133&amp;"【"&amp;VLOOKUP(BT133,$BL$4:$BN$58,2,0)&amp;"】"&amp;BU133)),"",IF(COUNTIF(BS133:BU133,"")&gt;=1,"",BR133&amp;BS133&amp;"【"&amp;VLOOKUP(BT133,$BL$4:$BN$58,2,0)&amp;"】"&amp;BU133))</f>
        <v/>
      </c>
      <c r="BX133" s="71" t="e">
        <f t="shared" ref="BX133:BX196" si="132">IF(CB133="","",CB133*10+G133)</f>
        <v>#VALUE!</v>
      </c>
      <c r="BY133" s="71" t="str">
        <f>IF(OR(COUNTBLANK(CB133)=1,ISERROR(CB133)),"",COUNT($CB$4:CB133))</f>
        <v/>
      </c>
      <c r="BZ133" s="7" t="e">
        <f t="shared" ref="BZ133:BZ196" si="133">IF(CB133&gt;25,"ナビ・","1・2年のWナビ・")</f>
        <v>#VALUE!</v>
      </c>
      <c r="CA133" s="1" t="str">
        <f t="shared" ref="CA133:CA196" si="134">IF(ISERROR(INDEX($C$4:$C$8,MATCH(G133,$D$4:$D$8,0))),"",INDEX($C$4:$C$8,MATCH(G133,$D$4:$D$8,0)))</f>
        <v/>
      </c>
      <c r="CB133" s="79" t="e">
        <f>IF(IF(COUNTIF($CB$4:CB132,CB131)&gt;=MAX($D$4:$D$8),CB131+2,CB131)&gt;55,"",IF(COUNTIF($CB$4:CB132,CB131)&gt;=MAX($D$4:$D$8),CB131+2,CB131))</f>
        <v>#VALUE!</v>
      </c>
      <c r="CC133" s="1" t="e">
        <f t="shared" ref="CC133:CC196" si="135">IF(CB133="","",VLOOKUP(CB133,$BL$4:$BN$58,3,0))</f>
        <v>#VALUE!</v>
      </c>
      <c r="CD133" s="8" t="str">
        <f t="shared" ref="CD133:CD196" si="136">IF(ISERROR(IF(COUNTIF(CA133:CC133,"")&gt;=1,"",BZ133&amp;CA133&amp;"【"&amp;VLOOKUP(CB133,$BL$4:$BN$58,2,0)&amp;"】"&amp;CC133)),"",IF(COUNTIF(CA133:CC133,"")&gt;=1,"",BZ133&amp;CA133&amp;"【"&amp;VLOOKUP(CB133,$BL$4:$BN$58,2,0)&amp;"】"&amp;CC133))</f>
        <v/>
      </c>
      <c r="CF133" s="71" t="e">
        <f t="shared" si="105"/>
        <v>#VALUE!</v>
      </c>
      <c r="CG133" s="71" t="str">
        <f>IF(OR(COUNTBLANK(CJ133)=1,ISERROR(CJ133)),"",COUNT($CJ$4:CJ133))</f>
        <v/>
      </c>
      <c r="CH133" s="7" t="e">
        <f t="shared" si="106"/>
        <v>#VALUE!</v>
      </c>
      <c r="CI133" s="1" t="str">
        <f t="shared" si="107"/>
        <v/>
      </c>
      <c r="CJ133" s="79" t="e">
        <f>IF(IF(COUNTIF($CJ$4:CJ132,CJ130)&gt;=MAX($D$4:$D$8),CJ130+3,CJ130)&gt;55,"",IF(COUNTIF($CJ$4:CJ132,CJ130)&gt;=MAX($D$4:$D$8),CJ130+3,CJ130))</f>
        <v>#VALUE!</v>
      </c>
      <c r="CK133" s="1" t="e">
        <f t="shared" ref="CK133:CK196" si="137">IF(CJ133="","",VLOOKUP(CJ133,$BL$4:$BN$58,3,0))</f>
        <v>#VALUE!</v>
      </c>
      <c r="CL133" s="8" t="str">
        <f t="shared" si="108"/>
        <v/>
      </c>
      <c r="CN133" s="71" t="e">
        <f t="shared" si="99"/>
        <v>#VALUE!</v>
      </c>
      <c r="CO133" s="71" t="str">
        <f>IF(OR(COUNTBLANK(CR133)=1,ISERROR(CR133)),"",COUNT($CR$4:CR133))</f>
        <v/>
      </c>
      <c r="CP133" s="7" t="e">
        <f t="shared" si="100"/>
        <v>#VALUE!</v>
      </c>
      <c r="CQ133" s="1" t="str">
        <f t="shared" si="101"/>
        <v/>
      </c>
      <c r="CR133" s="79" t="e">
        <f>IF(IF(COUNTIF($CR$4:CR132,CR129)&gt;=MAX($D$4:$D$8),CR129+4,CR129)&gt;55,"",IF(COUNTIF($CR$4:CR132,CR129)&gt;=MAX($D$4:$D$8),CR129+4,CR129))</f>
        <v>#VALUE!</v>
      </c>
      <c r="CS133" s="1" t="e">
        <f t="shared" ref="CS133:CS196" si="138">IF(CR133="","",VLOOKUP(CR133,$BL$4:$BN$58,3,0))</f>
        <v>#VALUE!</v>
      </c>
      <c r="CT133" s="8" t="str">
        <f t="shared" si="102"/>
        <v/>
      </c>
      <c r="CV133" s="71" t="e">
        <f t="shared" si="109"/>
        <v>#VALUE!</v>
      </c>
      <c r="CW133" s="71" t="str">
        <f>IF(OR(COUNTBLANK(CZ133)=1,ISERROR(CZ133)),"",COUNT($CZ$4:CZ133))</f>
        <v/>
      </c>
      <c r="CX133" s="7" t="e">
        <f t="shared" si="110"/>
        <v>#VALUE!</v>
      </c>
      <c r="CY133" s="1" t="str">
        <f t="shared" si="111"/>
        <v/>
      </c>
      <c r="CZ133" s="79" t="e">
        <f>IF(IF(COUNTIF($CZ$4:CZ132,CZ128)&gt;=MAX($D$4:$D$8),CZ128+5,CZ128)&gt;55,"",IF(COUNTIF($CZ$4:CZ132,CZ128)&gt;=MAX($D$4:$D$8),CZ128+5,CZ128))</f>
        <v>#VALUE!</v>
      </c>
      <c r="DA133" s="1" t="e">
        <f t="shared" ref="DA133:DA196" si="139">IF(CZ133="","",VLOOKUP(CZ133,$BL$4:$BN$58,3,0))</f>
        <v>#VALUE!</v>
      </c>
      <c r="DB133" s="8" t="str">
        <f t="shared" si="112"/>
        <v/>
      </c>
    </row>
    <row r="134" spans="5:106" x14ac:dyDescent="0.15">
      <c r="E134" s="1">
        <v>131</v>
      </c>
      <c r="F134" s="1">
        <f t="shared" ref="F134:F197" si="140">IF(F133+1&gt;MAX($D$4:$D$8),1,F133+1)</f>
        <v>1</v>
      </c>
      <c r="G134" s="1">
        <f t="shared" si="103"/>
        <v>1</v>
      </c>
      <c r="H134" s="1">
        <f t="shared" si="97"/>
        <v>1</v>
      </c>
      <c r="I134" s="1">
        <f t="shared" si="98"/>
        <v>1</v>
      </c>
      <c r="J134" s="1">
        <f t="shared" si="104"/>
        <v>1</v>
      </c>
      <c r="L134" s="1" t="str">
        <f>IF(ISERROR(HLOOKUP($C$10,$F$3:$J$253,132,0)),"",HLOOKUP($C$10,$F$3:$J$253,132,0))</f>
        <v/>
      </c>
      <c r="N134" s="67"/>
      <c r="W134" s="71" t="e">
        <f>IF(AA134="","",AA134*10+1)</f>
        <v>#VALUE!</v>
      </c>
      <c r="X134" s="71" t="str">
        <f>IF(OR(COUNTBLANK(AA134)=1,ISERROR(AA134)),"",COUNT(AA4:AA134))</f>
        <v/>
      </c>
      <c r="Y134" s="7" t="e">
        <f t="shared" si="113"/>
        <v>#VALUE!</v>
      </c>
      <c r="Z134" s="1" t="str">
        <f t="shared" si="127"/>
        <v/>
      </c>
      <c r="AA134" s="79" t="e">
        <f>IF(IF(COUNTIF(AA4:AA133,AA133)&gt;=MAX(D4:D8),AA133+1,AA133)&gt;50,"",IF(COUNTIF(AA4:AA133,AA133)&gt;=MAX(D4:D8),AA133+1,AA133))</f>
        <v>#VALUE!</v>
      </c>
      <c r="AB134" s="1" t="e">
        <f>IF(AA134="","",VLOOKUP(AA134,S4:U53,3,0))</f>
        <v>#VALUE!</v>
      </c>
      <c r="AC134" s="8" t="str">
        <f t="shared" si="114"/>
        <v/>
      </c>
      <c r="AE134" s="71" t="e">
        <f t="shared" si="115"/>
        <v>#VALUE!</v>
      </c>
      <c r="AF134" s="71" t="str">
        <f>IF(OR(COUNTBLANK(AI134)=1,ISERROR(AI134)),"",COUNT(AI4:AI134))</f>
        <v/>
      </c>
      <c r="AG134" s="7" t="e">
        <f t="shared" si="116"/>
        <v>#VALUE!</v>
      </c>
      <c r="AH134" s="1" t="str">
        <f>IF(ISERROR(INDEX(C4:C8,MATCH(G134,D4:D8,0))),"",INDEX(C4:C8,MATCH(G134,D4:D8,0)))</f>
        <v/>
      </c>
      <c r="AI134" s="79" t="e">
        <f>IF(IF(COUNTIF(AI4:AI133,AI132)&gt;=MAX(D4:D8),AI132+2,AI132)&gt;50,"",IF(COUNTIF(AI4:AI133,AI132)&gt;=MAX(D4:D8),AI132+2,AI132))</f>
        <v>#VALUE!</v>
      </c>
      <c r="AJ134" s="1" t="e">
        <f>IF(AI134="","",VLOOKUP(AI134,S4:U53,3,0))</f>
        <v>#VALUE!</v>
      </c>
      <c r="AK134" s="8" t="str">
        <f t="shared" si="117"/>
        <v/>
      </c>
      <c r="AM134" s="71" t="e">
        <f t="shared" si="118"/>
        <v>#VALUE!</v>
      </c>
      <c r="AN134" s="71" t="str">
        <f>IF(OR(COUNTBLANK(AQ134)=1,ISERROR(AQ134)),"",COUNT(AQ4:AQ134))</f>
        <v/>
      </c>
      <c r="AO134" s="7" t="e">
        <f t="shared" si="119"/>
        <v>#VALUE!</v>
      </c>
      <c r="AP134" s="1" t="str">
        <f>IF(ISERROR(INDEX(C4:C8,MATCH(H134,D4:D8,0))),"",INDEX(C4:C8,MATCH(H134,D4:D8,0)))</f>
        <v/>
      </c>
      <c r="AQ134" s="79" t="e">
        <f>IF(IF(COUNTIF(AQ4:AQ133,AQ131)&gt;=MAX(D4:D8),AQ131+3,AQ131)&gt;50,"",IF(COUNTIF(AQ4:AQ133,AQ131)&gt;=MAX(D4:D8),AQ131+3,AQ131))</f>
        <v>#VALUE!</v>
      </c>
      <c r="AR134" s="1" t="e">
        <f>IF(AQ134="","",VLOOKUP(AQ134,S4:U53,3,0))</f>
        <v>#VALUE!</v>
      </c>
      <c r="AS134" s="8" t="str">
        <f t="shared" si="120"/>
        <v/>
      </c>
      <c r="AU134" s="71" t="e">
        <f t="shared" si="121"/>
        <v>#VALUE!</v>
      </c>
      <c r="AV134" s="71" t="str">
        <f>IF(OR(COUNTBLANK(AY134)=1,ISERROR(AY134)),"",COUNT(AY4:AY134))</f>
        <v/>
      </c>
      <c r="AW134" s="7" t="e">
        <f t="shared" si="122"/>
        <v>#VALUE!</v>
      </c>
      <c r="AX134" s="1" t="str">
        <f>IF(ISERROR(INDEX(C4:C8,MATCH(I134,D4:D8,0))),"",INDEX(C4:C8,MATCH(I134,D4:D8,0)))</f>
        <v/>
      </c>
      <c r="AY134" s="79" t="e">
        <f>IF(IF(COUNTIF(AY4:AY133,AY130)&gt;=MAX(D4:D8),AY130+4,AY130)&gt;50,"",IF(COUNTIF(AY4:AY133,AY130)&gt;=MAX(D4:D8),AY130+4,AY130))</f>
        <v>#VALUE!</v>
      </c>
      <c r="AZ134" s="76" t="e">
        <f>IF(AY134="","",VLOOKUP(AY134,S4:U53,3,0))</f>
        <v>#VALUE!</v>
      </c>
      <c r="BA134" s="8" t="str">
        <f t="shared" si="123"/>
        <v/>
      </c>
      <c r="BC134" s="71" t="e">
        <f t="shared" si="124"/>
        <v>#VALUE!</v>
      </c>
      <c r="BD134" s="71" t="str">
        <f>IF(OR(COUNTBLANK(BG134)=1,ISERROR(BG134)),"",COUNT(BG4:BG134))</f>
        <v/>
      </c>
      <c r="BE134" s="7" t="e">
        <f t="shared" si="125"/>
        <v>#VALUE!</v>
      </c>
      <c r="BF134" s="1" t="str">
        <f>IF(ISERROR(INDEX(C4:C8,MATCH(J134,D4:D8,0))),"",INDEX(C4:C8,MATCH(J134,D4:D8,0)))</f>
        <v/>
      </c>
      <c r="BG134" s="79" t="e">
        <f>IF(IF(COUNTIF(BG4:BG133,BG129)&gt;=MAX(D4:D8),BG129+5,BG129)&gt;50,"",IF(COUNTIF(BG4:BG133,BG129)&gt;=MAX(D4:D8),BG129+5,BG129))</f>
        <v>#VALUE!</v>
      </c>
      <c r="BH134" s="76" t="e">
        <f>IF(BG134="","",VLOOKUP(BG134,S4:U53,3,0))</f>
        <v>#VALUE!</v>
      </c>
      <c r="BI134" s="8" t="str">
        <f t="shared" si="126"/>
        <v/>
      </c>
      <c r="BP134" s="71" t="e">
        <f>IF(BT134="","",BT134*10+1)</f>
        <v>#VALUE!</v>
      </c>
      <c r="BQ134" s="71" t="str">
        <f>IF(OR(COUNTBLANK(BT134)=1,ISERROR(BT134)),"",COUNT(BT4:BT134))</f>
        <v/>
      </c>
      <c r="BR134" s="7" t="e">
        <f t="shared" si="128"/>
        <v>#VALUE!</v>
      </c>
      <c r="BS134" s="1" t="str">
        <f t="shared" si="129"/>
        <v/>
      </c>
      <c r="BT134" s="79" t="e">
        <f>IF(IF(COUNTIF($BT$4:BT133,BT133)&gt;=MAX($D$4:$D$8),BT133+1,BT133)&gt;55,"",IF(COUNTIF($BT$4:BT133,BT133)&gt;=MAX($D$4:$D$8),BT133+1,BT133))</f>
        <v>#VALUE!</v>
      </c>
      <c r="BU134" s="1" t="e">
        <f t="shared" si="130"/>
        <v>#VALUE!</v>
      </c>
      <c r="BV134" s="8" t="str">
        <f t="shared" si="131"/>
        <v/>
      </c>
      <c r="BX134" s="71" t="e">
        <f t="shared" si="132"/>
        <v>#VALUE!</v>
      </c>
      <c r="BY134" s="71" t="str">
        <f>IF(OR(COUNTBLANK(CB134)=1,ISERROR(CB134)),"",COUNT($CB$4:CB134))</f>
        <v/>
      </c>
      <c r="BZ134" s="7" t="e">
        <f t="shared" si="133"/>
        <v>#VALUE!</v>
      </c>
      <c r="CA134" s="1" t="str">
        <f t="shared" si="134"/>
        <v/>
      </c>
      <c r="CB134" s="79" t="e">
        <f>IF(IF(COUNTIF($CB$4:CB133,CB132)&gt;=MAX($D$4:$D$8),CB132+2,CB132)&gt;55,"",IF(COUNTIF($CB$4:CB133,CB132)&gt;=MAX($D$4:$D$8),CB132+2,CB132))</f>
        <v>#VALUE!</v>
      </c>
      <c r="CC134" s="1" t="e">
        <f t="shared" si="135"/>
        <v>#VALUE!</v>
      </c>
      <c r="CD134" s="8" t="str">
        <f t="shared" si="136"/>
        <v/>
      </c>
      <c r="CF134" s="71" t="e">
        <f t="shared" si="105"/>
        <v>#VALUE!</v>
      </c>
      <c r="CG134" s="71" t="str">
        <f>IF(OR(COUNTBLANK(CJ134)=1,ISERROR(CJ134)),"",COUNT($CJ$4:CJ134))</f>
        <v/>
      </c>
      <c r="CH134" s="7" t="e">
        <f t="shared" si="106"/>
        <v>#VALUE!</v>
      </c>
      <c r="CI134" s="1" t="str">
        <f t="shared" si="107"/>
        <v/>
      </c>
      <c r="CJ134" s="79" t="e">
        <f>IF(IF(COUNTIF($CJ$4:CJ133,CJ131)&gt;=MAX($D$4:$D$8),CJ131+3,CJ131)&gt;55,"",IF(COUNTIF($CJ$4:CJ133,CJ131)&gt;=MAX($D$4:$D$8),CJ131+3,CJ131))</f>
        <v>#VALUE!</v>
      </c>
      <c r="CK134" s="1" t="e">
        <f t="shared" si="137"/>
        <v>#VALUE!</v>
      </c>
      <c r="CL134" s="8" t="str">
        <f t="shared" si="108"/>
        <v/>
      </c>
      <c r="CN134" s="71" t="e">
        <f t="shared" si="99"/>
        <v>#VALUE!</v>
      </c>
      <c r="CO134" s="71" t="str">
        <f>IF(OR(COUNTBLANK(CR134)=1,ISERROR(CR134)),"",COUNT($CR$4:CR134))</f>
        <v/>
      </c>
      <c r="CP134" s="7" t="e">
        <f t="shared" si="100"/>
        <v>#VALUE!</v>
      </c>
      <c r="CQ134" s="1" t="str">
        <f t="shared" si="101"/>
        <v/>
      </c>
      <c r="CR134" s="79" t="e">
        <f>IF(IF(COUNTIF($CR$4:CR133,CR130)&gt;=MAX($D$4:$D$8),CR130+4,CR130)&gt;55,"",IF(COUNTIF($CR$4:CR133,CR130)&gt;=MAX($D$4:$D$8),CR130+4,CR130))</f>
        <v>#VALUE!</v>
      </c>
      <c r="CS134" s="1" t="e">
        <f t="shared" si="138"/>
        <v>#VALUE!</v>
      </c>
      <c r="CT134" s="8" t="str">
        <f t="shared" si="102"/>
        <v/>
      </c>
      <c r="CV134" s="71" t="e">
        <f t="shared" si="109"/>
        <v>#VALUE!</v>
      </c>
      <c r="CW134" s="71" t="str">
        <f>IF(OR(COUNTBLANK(CZ134)=1,ISERROR(CZ134)),"",COUNT($CZ$4:CZ134))</f>
        <v/>
      </c>
      <c r="CX134" s="7" t="e">
        <f t="shared" si="110"/>
        <v>#VALUE!</v>
      </c>
      <c r="CY134" s="1" t="str">
        <f t="shared" si="111"/>
        <v/>
      </c>
      <c r="CZ134" s="79" t="e">
        <f>IF(IF(COUNTIF($CZ$4:CZ133,CZ129)&gt;=MAX($D$4:$D$8),CZ129+5,CZ129)&gt;55,"",IF(COUNTIF($CZ$4:CZ133,CZ129)&gt;=MAX($D$4:$D$8),CZ129+5,CZ129))</f>
        <v>#VALUE!</v>
      </c>
      <c r="DA134" s="1" t="e">
        <f t="shared" si="139"/>
        <v>#VALUE!</v>
      </c>
      <c r="DB134" s="8" t="str">
        <f t="shared" si="112"/>
        <v/>
      </c>
    </row>
    <row r="135" spans="5:106" x14ac:dyDescent="0.15">
      <c r="E135" s="1">
        <v>132</v>
      </c>
      <c r="F135" s="1">
        <f t="shared" si="140"/>
        <v>1</v>
      </c>
      <c r="G135" s="1">
        <f t="shared" si="103"/>
        <v>1</v>
      </c>
      <c r="H135" s="1">
        <f t="shared" si="97"/>
        <v>1</v>
      </c>
      <c r="I135" s="1">
        <f t="shared" si="98"/>
        <v>1</v>
      </c>
      <c r="J135" s="1">
        <f t="shared" si="104"/>
        <v>1</v>
      </c>
      <c r="L135" s="1" t="str">
        <f>IF(ISERROR(HLOOKUP($C$10,$F$3:$J$253,133,0)),"",HLOOKUP($C$10,$F$3:$J$253,133,0))</f>
        <v/>
      </c>
      <c r="N135" s="67"/>
      <c r="W135" s="71" t="e">
        <f>IF(AA135="","",AA135*10+2)</f>
        <v>#VALUE!</v>
      </c>
      <c r="X135" s="71" t="str">
        <f>IF(OR(COUNTBLANK(AA135)=1,ISERROR(AA135)),"",COUNT(AA4:AA135))</f>
        <v/>
      </c>
      <c r="Y135" s="7" t="e">
        <f t="shared" si="113"/>
        <v>#VALUE!</v>
      </c>
      <c r="Z135" s="1" t="str">
        <f t="shared" si="127"/>
        <v/>
      </c>
      <c r="AA135" s="79" t="e">
        <f>IF(IF(COUNTIF(AA4:AA134,AA134)&gt;=MAX(D4:D8),AA134+1,AA134)&gt;50,"",IF(COUNTIF(AA4:AA134,AA134)&gt;=MAX(D4:D8),AA134+1,AA134))</f>
        <v>#VALUE!</v>
      </c>
      <c r="AB135" s="1" t="e">
        <f>IF(AA135="","",VLOOKUP(AA135,S4:U53,3,0))</f>
        <v>#VALUE!</v>
      </c>
      <c r="AC135" s="8" t="str">
        <f t="shared" si="114"/>
        <v/>
      </c>
      <c r="AE135" s="71" t="e">
        <f t="shared" si="115"/>
        <v>#VALUE!</v>
      </c>
      <c r="AF135" s="71" t="str">
        <f>IF(OR(COUNTBLANK(AI135)=1,ISERROR(AI135)),"",COUNT(AI4:AI135))</f>
        <v/>
      </c>
      <c r="AG135" s="7" t="e">
        <f t="shared" si="116"/>
        <v>#VALUE!</v>
      </c>
      <c r="AH135" s="1" t="str">
        <f>IF(ISERROR(INDEX(C4:C8,MATCH(G135,D4:D8,0))),"",INDEX(C4:C8,MATCH(G135,D4:D8,0)))</f>
        <v/>
      </c>
      <c r="AI135" s="79" t="e">
        <f>IF(IF(COUNTIF(AI4:AI133,AI133)&gt;=MAX(D4:D8),AI133+2,AI133)&gt;50,"",IF(COUNTIF(AI4:AI133,AI133)&gt;=MAX(D4:D8),AI133+2,AI133))</f>
        <v>#VALUE!</v>
      </c>
      <c r="AJ135" s="1" t="e">
        <f>IF(AI135="","",VLOOKUP(AI135,S4:U53,3,0))</f>
        <v>#VALUE!</v>
      </c>
      <c r="AK135" s="8" t="str">
        <f t="shared" si="117"/>
        <v/>
      </c>
      <c r="AM135" s="71" t="e">
        <f t="shared" si="118"/>
        <v>#VALUE!</v>
      </c>
      <c r="AN135" s="71" t="str">
        <f>IF(OR(COUNTBLANK(AQ135)=1,ISERROR(AQ135)),"",COUNT(AQ4:AQ135))</f>
        <v/>
      </c>
      <c r="AO135" s="7" t="e">
        <f t="shared" si="119"/>
        <v>#VALUE!</v>
      </c>
      <c r="AP135" s="1" t="str">
        <f>IF(ISERROR(INDEX(C4:C8,MATCH(H135,D4:D8,0))),"",INDEX(C4:C8,MATCH(H135,D4:D8,0)))</f>
        <v/>
      </c>
      <c r="AQ135" s="79" t="e">
        <f>IF(IF(COUNTIF(AQ4:AQ134,AQ132)&gt;=MAX(D4:D8),AQ132+3,AQ132)&gt;50,"",IF(COUNTIF(AQ4:AQ134,AQ132)&gt;=MAX(D4:D8),AQ132+3,AQ132))</f>
        <v>#VALUE!</v>
      </c>
      <c r="AR135" s="1" t="e">
        <f>IF(AQ135="","",VLOOKUP(AQ135,S4:U53,3,0))</f>
        <v>#VALUE!</v>
      </c>
      <c r="AS135" s="8" t="str">
        <f t="shared" si="120"/>
        <v/>
      </c>
      <c r="AU135" s="71" t="e">
        <f t="shared" si="121"/>
        <v>#VALUE!</v>
      </c>
      <c r="AV135" s="71" t="str">
        <f>IF(OR(COUNTBLANK(AY135)=1,ISERROR(AY135)),"",COUNT(AY4:AY135))</f>
        <v/>
      </c>
      <c r="AW135" s="7" t="e">
        <f t="shared" si="122"/>
        <v>#VALUE!</v>
      </c>
      <c r="AX135" s="1" t="str">
        <f>IF(ISERROR(INDEX(C4:C8,MATCH(I135,D4:D8,0))),"",INDEX(C4:C8,MATCH(I135,D4:D8,0)))</f>
        <v/>
      </c>
      <c r="AY135" s="79" t="e">
        <f>IF(IF(COUNTIF(AY4:AY134,AY131)&gt;=MAX(D4:D8),AY131+4,AY131)&gt;50,"",IF(COUNTIF(AY4:AY134,AY131)&gt;=MAX(D4:D8),AY131+4,AY131))</f>
        <v>#VALUE!</v>
      </c>
      <c r="AZ135" s="76" t="e">
        <f>IF(AY135="","",VLOOKUP(AY135,S4:U53,3,0))</f>
        <v>#VALUE!</v>
      </c>
      <c r="BA135" s="8" t="str">
        <f t="shared" si="123"/>
        <v/>
      </c>
      <c r="BC135" s="71" t="e">
        <f t="shared" si="124"/>
        <v>#VALUE!</v>
      </c>
      <c r="BD135" s="71" t="str">
        <f>IF(OR(COUNTBLANK(BG135)=1,ISERROR(BG135)),"",COUNT(BG4:BG135))</f>
        <v/>
      </c>
      <c r="BE135" s="7" t="e">
        <f t="shared" si="125"/>
        <v>#VALUE!</v>
      </c>
      <c r="BF135" s="1" t="str">
        <f>IF(ISERROR(INDEX(C4:C8,MATCH(J135,D4:D8,0))),"",INDEX(C4:C8,MATCH(J135,D4:D8,0)))</f>
        <v/>
      </c>
      <c r="BG135" s="79" t="e">
        <f>IF(IF(COUNTIF(BG4:BG134,BG130)&gt;=MAX(D4:D8),BG130+5,BG130)&gt;50,"",IF(COUNTIF(BG4:BG134,BG130)&gt;=MAX(D4:D8),BG130+5,BG130))</f>
        <v>#VALUE!</v>
      </c>
      <c r="BH135" s="76" t="e">
        <f>IF(BG135="","",VLOOKUP(BG135,S4:U53,3,0))</f>
        <v>#VALUE!</v>
      </c>
      <c r="BI135" s="8" t="str">
        <f t="shared" si="126"/>
        <v/>
      </c>
      <c r="BP135" s="71" t="e">
        <f>IF(BT135="","",BT135*10+2)</f>
        <v>#VALUE!</v>
      </c>
      <c r="BQ135" s="71" t="str">
        <f>IF(OR(COUNTBLANK(BT135)=1,ISERROR(BT135)),"",COUNT(BT4:BT135))</f>
        <v/>
      </c>
      <c r="BR135" s="7" t="e">
        <f t="shared" si="128"/>
        <v>#VALUE!</v>
      </c>
      <c r="BS135" s="1" t="str">
        <f t="shared" si="129"/>
        <v/>
      </c>
      <c r="BT135" s="79" t="e">
        <f>IF(IF(COUNTIF($BT$4:BT134,BT134)&gt;=MAX($D$4:$D$8),BT134+1,BT134)&gt;55,"",IF(COUNTIF($BT$4:BT134,BT134)&gt;=MAX($D$4:$D$8),BT134+1,BT134))</f>
        <v>#VALUE!</v>
      </c>
      <c r="BU135" s="1" t="e">
        <f t="shared" si="130"/>
        <v>#VALUE!</v>
      </c>
      <c r="BV135" s="8" t="str">
        <f t="shared" si="131"/>
        <v/>
      </c>
      <c r="BX135" s="71" t="e">
        <f t="shared" si="132"/>
        <v>#VALUE!</v>
      </c>
      <c r="BY135" s="71" t="str">
        <f>IF(OR(COUNTBLANK(CB135)=1,ISERROR(CB135)),"",COUNT($CB$4:CB135))</f>
        <v/>
      </c>
      <c r="BZ135" s="7" t="e">
        <f t="shared" si="133"/>
        <v>#VALUE!</v>
      </c>
      <c r="CA135" s="1" t="str">
        <f t="shared" si="134"/>
        <v/>
      </c>
      <c r="CB135" s="79" t="e">
        <f>IF(IF(COUNTIF($CB$4:CB134,CB133)&gt;=MAX($D$4:$D$8),CB133+2,CB133)&gt;55,"",IF(COUNTIF($CB$4:CB134,CB133)&gt;=MAX($D$4:$D$8),CB133+2,CB133))</f>
        <v>#VALUE!</v>
      </c>
      <c r="CC135" s="1" t="e">
        <f t="shared" si="135"/>
        <v>#VALUE!</v>
      </c>
      <c r="CD135" s="8" t="str">
        <f t="shared" si="136"/>
        <v/>
      </c>
      <c r="CF135" s="71" t="e">
        <f t="shared" si="105"/>
        <v>#VALUE!</v>
      </c>
      <c r="CG135" s="71" t="str">
        <f>IF(OR(COUNTBLANK(CJ135)=1,ISERROR(CJ135)),"",COUNT($CJ$4:CJ135))</f>
        <v/>
      </c>
      <c r="CH135" s="7" t="e">
        <f t="shared" si="106"/>
        <v>#VALUE!</v>
      </c>
      <c r="CI135" s="1" t="str">
        <f t="shared" si="107"/>
        <v/>
      </c>
      <c r="CJ135" s="79" t="e">
        <f>IF(IF(COUNTIF($CJ$4:CJ134,CJ132)&gt;=MAX($D$4:$D$8),CJ132+3,CJ132)&gt;55,"",IF(COUNTIF($CJ$4:CJ134,CJ132)&gt;=MAX($D$4:$D$8),CJ132+3,CJ132))</f>
        <v>#VALUE!</v>
      </c>
      <c r="CK135" s="1" t="e">
        <f t="shared" si="137"/>
        <v>#VALUE!</v>
      </c>
      <c r="CL135" s="8" t="str">
        <f t="shared" si="108"/>
        <v/>
      </c>
      <c r="CN135" s="71" t="e">
        <f t="shared" si="99"/>
        <v>#VALUE!</v>
      </c>
      <c r="CO135" s="71" t="str">
        <f>IF(OR(COUNTBLANK(CR135)=1,ISERROR(CR135)),"",COUNT($CR$4:CR135))</f>
        <v/>
      </c>
      <c r="CP135" s="7" t="e">
        <f t="shared" si="100"/>
        <v>#VALUE!</v>
      </c>
      <c r="CQ135" s="1" t="str">
        <f t="shared" si="101"/>
        <v/>
      </c>
      <c r="CR135" s="79" t="e">
        <f>IF(IF(COUNTIF($CR$4:CR134,CR131)&gt;=MAX($D$4:$D$8),CR131+4,CR131)&gt;55,"",IF(COUNTIF($CR$4:CR134,CR131)&gt;=MAX($D$4:$D$8),CR131+4,CR131))</f>
        <v>#VALUE!</v>
      </c>
      <c r="CS135" s="1" t="e">
        <f t="shared" si="138"/>
        <v>#VALUE!</v>
      </c>
      <c r="CT135" s="8" t="str">
        <f t="shared" si="102"/>
        <v/>
      </c>
      <c r="CV135" s="71" t="e">
        <f t="shared" si="109"/>
        <v>#VALUE!</v>
      </c>
      <c r="CW135" s="71" t="str">
        <f>IF(OR(COUNTBLANK(CZ135)=1,ISERROR(CZ135)),"",COUNT($CZ$4:CZ135))</f>
        <v/>
      </c>
      <c r="CX135" s="7" t="e">
        <f t="shared" si="110"/>
        <v>#VALUE!</v>
      </c>
      <c r="CY135" s="1" t="str">
        <f t="shared" si="111"/>
        <v/>
      </c>
      <c r="CZ135" s="79" t="e">
        <f>IF(IF(COUNTIF($CZ$4:CZ134,CZ130)&gt;=MAX($D$4:$D$8),CZ130+5,CZ130)&gt;55,"",IF(COUNTIF($CZ$4:CZ134,CZ130)&gt;=MAX($D$4:$D$8),CZ130+5,CZ130))</f>
        <v>#VALUE!</v>
      </c>
      <c r="DA135" s="1" t="e">
        <f t="shared" si="139"/>
        <v>#VALUE!</v>
      </c>
      <c r="DB135" s="8" t="str">
        <f t="shared" si="112"/>
        <v/>
      </c>
    </row>
    <row r="136" spans="5:106" x14ac:dyDescent="0.15">
      <c r="E136" s="1">
        <v>133</v>
      </c>
      <c r="F136" s="1">
        <f t="shared" si="140"/>
        <v>1</v>
      </c>
      <c r="G136" s="1">
        <f t="shared" si="103"/>
        <v>1</v>
      </c>
      <c r="H136" s="1">
        <f t="shared" ref="H136:H199" si="141">IF(H133+1&gt;MAX($D$4:$D$8),1,H133+1)</f>
        <v>1</v>
      </c>
      <c r="I136" s="1">
        <f t="shared" si="98"/>
        <v>1</v>
      </c>
      <c r="J136" s="1">
        <f t="shared" si="104"/>
        <v>1</v>
      </c>
      <c r="L136" s="1" t="str">
        <f>IF(ISERROR(HLOOKUP($C$10,$F$3:$J$253,134,0)),"",HLOOKUP($C$10,$F$3:$J$253,134,0))</f>
        <v/>
      </c>
      <c r="N136" s="67"/>
      <c r="W136" s="71" t="e">
        <f>IF(AA136="","",AA136*10+3)</f>
        <v>#VALUE!</v>
      </c>
      <c r="X136" s="71" t="str">
        <f>IF(OR(COUNTBLANK(AA136)=1,ISERROR(AA136)),"",COUNT(AA4:AA136))</f>
        <v/>
      </c>
      <c r="Y136" s="7" t="e">
        <f t="shared" si="113"/>
        <v>#VALUE!</v>
      </c>
      <c r="Z136" s="1" t="str">
        <f t="shared" si="127"/>
        <v/>
      </c>
      <c r="AA136" s="79" t="e">
        <f>IF(IF(COUNTIF(AA4:AA135,AA135)&gt;=MAX(D4:D8),AA135+1,AA135)&gt;50,"",IF(COUNTIF(AA4:AA135,AA135)&gt;=MAX(D4:D8),AA135+1,AA135))</f>
        <v>#VALUE!</v>
      </c>
      <c r="AB136" s="1" t="e">
        <f>IF(AA136="","",VLOOKUP(AA136,S4:U53,3,0))</f>
        <v>#VALUE!</v>
      </c>
      <c r="AC136" s="8" t="str">
        <f t="shared" si="114"/>
        <v/>
      </c>
      <c r="AE136" s="71" t="e">
        <f t="shared" si="115"/>
        <v>#VALUE!</v>
      </c>
      <c r="AF136" s="71" t="str">
        <f>IF(OR(COUNTBLANK(AI136)=1,ISERROR(AI136)),"",COUNT(AI4:AI136))</f>
        <v/>
      </c>
      <c r="AG136" s="7" t="e">
        <f t="shared" si="116"/>
        <v>#VALUE!</v>
      </c>
      <c r="AH136" s="1" t="str">
        <f>IF(ISERROR(INDEX(C4:C8,MATCH(G136,D4:D8,0))),"",INDEX(C4:C8,MATCH(G136,D4:D8,0)))</f>
        <v/>
      </c>
      <c r="AI136" s="79" t="e">
        <f>IF(IF(COUNTIF(AI4:AI135,AI134)&gt;=MAX(D4:D8),AI134+2,AI134)&gt;50,"",IF(COUNTIF(AI4:AI135,AI134)&gt;=MAX(D4:D8),AI134+2,AI134))</f>
        <v>#VALUE!</v>
      </c>
      <c r="AJ136" s="1" t="e">
        <f>IF(AI136="","",VLOOKUP(AI136,S4:U53,3,0))</f>
        <v>#VALUE!</v>
      </c>
      <c r="AK136" s="8" t="str">
        <f t="shared" si="117"/>
        <v/>
      </c>
      <c r="AM136" s="71" t="e">
        <f t="shared" si="118"/>
        <v>#VALUE!</v>
      </c>
      <c r="AN136" s="71" t="str">
        <f>IF(OR(COUNTBLANK(AQ136)=1,ISERROR(AQ136)),"",COUNT(AQ4:AQ136))</f>
        <v/>
      </c>
      <c r="AO136" s="7" t="e">
        <f t="shared" si="119"/>
        <v>#VALUE!</v>
      </c>
      <c r="AP136" s="1" t="str">
        <f>IF(ISERROR(INDEX(C4:C8,MATCH(H136,D4:D8,0))),"",INDEX(C4:C8,MATCH(H136,D4:D8,0)))</f>
        <v/>
      </c>
      <c r="AQ136" s="79" t="e">
        <f>IF(IF(COUNTIF(AQ4:AQ135,AQ133)&gt;=MAX(D4:D8),AQ133+3,AQ133)&gt;50,"",IF(COUNTIF(AQ4:AQ135,AQ133)&gt;=MAX(D4:D8),AQ133+3,AQ133))</f>
        <v>#VALUE!</v>
      </c>
      <c r="AR136" s="1" t="e">
        <f>IF(AQ136="","",VLOOKUP(AQ136,S4:U53,3,0))</f>
        <v>#VALUE!</v>
      </c>
      <c r="AS136" s="8" t="str">
        <f t="shared" si="120"/>
        <v/>
      </c>
      <c r="AU136" s="71" t="e">
        <f t="shared" si="121"/>
        <v>#VALUE!</v>
      </c>
      <c r="AV136" s="71" t="str">
        <f>IF(OR(COUNTBLANK(AY136)=1,ISERROR(AY136)),"",COUNT(AY4:AY136))</f>
        <v/>
      </c>
      <c r="AW136" s="7" t="e">
        <f t="shared" si="122"/>
        <v>#VALUE!</v>
      </c>
      <c r="AX136" s="1" t="str">
        <f>IF(ISERROR(INDEX(C4:C8,MATCH(I136,D4:D8,0))),"",INDEX(C4:C8,MATCH(I136,D4:D8,0)))</f>
        <v/>
      </c>
      <c r="AY136" s="79" t="e">
        <f>IF(IF(COUNTIF(AY4:AY135,AY132)&gt;=MAX(D4:D8),AY132+4,AY132)&gt;50,"",IF(COUNTIF(AY4:AY135,AY132)&gt;=MAX(D4:D8),AY132+4,AY132))</f>
        <v>#VALUE!</v>
      </c>
      <c r="AZ136" s="76" t="e">
        <f>IF(AY136="","",VLOOKUP(AY136,S4:U53,3,0))</f>
        <v>#VALUE!</v>
      </c>
      <c r="BA136" s="8" t="str">
        <f t="shared" si="123"/>
        <v/>
      </c>
      <c r="BC136" s="71" t="e">
        <f t="shared" si="124"/>
        <v>#VALUE!</v>
      </c>
      <c r="BD136" s="71" t="str">
        <f>IF(OR(COUNTBLANK(BG136)=1,ISERROR(BG136)),"",COUNT(BG4:BG136))</f>
        <v/>
      </c>
      <c r="BE136" s="7" t="e">
        <f t="shared" si="125"/>
        <v>#VALUE!</v>
      </c>
      <c r="BF136" s="1" t="str">
        <f>IF(ISERROR(INDEX(C4:C8,MATCH(J136,D4:D8,0))),"",INDEX(C4:C8,MATCH(J136,D4:D8,0)))</f>
        <v/>
      </c>
      <c r="BG136" s="79" t="e">
        <f>IF(IF(COUNTIF(BG4:BG135,BG131)&gt;=MAX(D4:D8),BG131+5,BG131)&gt;50,"",IF(COUNTIF(BG4:BG135,BG131)&gt;=MAX(D4:D8),BG131+5,BG131))</f>
        <v>#VALUE!</v>
      </c>
      <c r="BH136" s="76" t="e">
        <f>IF(BG136="","",VLOOKUP(BG136,S4:U53,3,0))</f>
        <v>#VALUE!</v>
      </c>
      <c r="BI136" s="8" t="str">
        <f t="shared" si="126"/>
        <v/>
      </c>
      <c r="BP136" s="71" t="e">
        <f>IF(BT136="","",BT136*10+3)</f>
        <v>#VALUE!</v>
      </c>
      <c r="BQ136" s="71" t="str">
        <f>IF(OR(COUNTBLANK(BT136)=1,ISERROR(BT136)),"",COUNT(BT4:BT136))</f>
        <v/>
      </c>
      <c r="BR136" s="7" t="e">
        <f t="shared" si="128"/>
        <v>#VALUE!</v>
      </c>
      <c r="BS136" s="1" t="str">
        <f t="shared" si="129"/>
        <v/>
      </c>
      <c r="BT136" s="79" t="e">
        <f>IF(IF(COUNTIF($BT$4:BT135,BT135)&gt;=MAX($D$4:$D$8),BT135+1,BT135)&gt;55,"",IF(COUNTIF($BT$4:BT135,BT135)&gt;=MAX($D$4:$D$8),BT135+1,BT135))</f>
        <v>#VALUE!</v>
      </c>
      <c r="BU136" s="1" t="e">
        <f t="shared" si="130"/>
        <v>#VALUE!</v>
      </c>
      <c r="BV136" s="8" t="str">
        <f t="shared" si="131"/>
        <v/>
      </c>
      <c r="BX136" s="71" t="e">
        <f t="shared" si="132"/>
        <v>#VALUE!</v>
      </c>
      <c r="BY136" s="71" t="str">
        <f>IF(OR(COUNTBLANK(CB136)=1,ISERROR(CB136)),"",COUNT($CB$4:CB136))</f>
        <v/>
      </c>
      <c r="BZ136" s="7" t="e">
        <f t="shared" si="133"/>
        <v>#VALUE!</v>
      </c>
      <c r="CA136" s="1" t="str">
        <f t="shared" si="134"/>
        <v/>
      </c>
      <c r="CB136" s="79" t="e">
        <f>IF(IF(COUNTIF($CB$4:CB135,CB134)&gt;=MAX($D$4:$D$8),CB134+2,CB134)&gt;55,"",IF(COUNTIF($CB$4:CB135,CB134)&gt;=MAX($D$4:$D$8),CB134+2,CB134))</f>
        <v>#VALUE!</v>
      </c>
      <c r="CC136" s="1" t="e">
        <f t="shared" si="135"/>
        <v>#VALUE!</v>
      </c>
      <c r="CD136" s="8" t="str">
        <f t="shared" si="136"/>
        <v/>
      </c>
      <c r="CF136" s="71" t="e">
        <f t="shared" si="105"/>
        <v>#VALUE!</v>
      </c>
      <c r="CG136" s="71" t="str">
        <f>IF(OR(COUNTBLANK(CJ136)=1,ISERROR(CJ136)),"",COUNT($CJ$4:CJ136))</f>
        <v/>
      </c>
      <c r="CH136" s="7" t="e">
        <f t="shared" si="106"/>
        <v>#VALUE!</v>
      </c>
      <c r="CI136" s="1" t="str">
        <f t="shared" si="107"/>
        <v/>
      </c>
      <c r="CJ136" s="79" t="e">
        <f>IF(IF(COUNTIF($CJ$4:CJ135,CJ133)&gt;=MAX($D$4:$D$8),CJ133+3,CJ133)&gt;55,"",IF(COUNTIF($CJ$4:CJ135,CJ133)&gt;=MAX($D$4:$D$8),CJ133+3,CJ133))</f>
        <v>#VALUE!</v>
      </c>
      <c r="CK136" s="1" t="e">
        <f t="shared" si="137"/>
        <v>#VALUE!</v>
      </c>
      <c r="CL136" s="8" t="str">
        <f t="shared" si="108"/>
        <v/>
      </c>
      <c r="CN136" s="71" t="e">
        <f t="shared" si="99"/>
        <v>#VALUE!</v>
      </c>
      <c r="CO136" s="71" t="str">
        <f>IF(OR(COUNTBLANK(CR136)=1,ISERROR(CR136)),"",COUNT($CR$4:CR136))</f>
        <v/>
      </c>
      <c r="CP136" s="7" t="e">
        <f t="shared" si="100"/>
        <v>#VALUE!</v>
      </c>
      <c r="CQ136" s="1" t="str">
        <f t="shared" si="101"/>
        <v/>
      </c>
      <c r="CR136" s="79" t="e">
        <f>IF(IF(COUNTIF($CR$4:CR135,CR132)&gt;=MAX($D$4:$D$8),CR132+4,CR132)&gt;55,"",IF(COUNTIF($CR$4:CR135,CR132)&gt;=MAX($D$4:$D$8),CR132+4,CR132))</f>
        <v>#VALUE!</v>
      </c>
      <c r="CS136" s="1" t="e">
        <f t="shared" si="138"/>
        <v>#VALUE!</v>
      </c>
      <c r="CT136" s="8" t="str">
        <f t="shared" si="102"/>
        <v/>
      </c>
      <c r="CV136" s="71" t="e">
        <f t="shared" si="109"/>
        <v>#VALUE!</v>
      </c>
      <c r="CW136" s="71" t="str">
        <f>IF(OR(COUNTBLANK(CZ136)=1,ISERROR(CZ136)),"",COUNT($CZ$4:CZ136))</f>
        <v/>
      </c>
      <c r="CX136" s="7" t="e">
        <f t="shared" si="110"/>
        <v>#VALUE!</v>
      </c>
      <c r="CY136" s="1" t="str">
        <f t="shared" si="111"/>
        <v/>
      </c>
      <c r="CZ136" s="79" t="e">
        <f>IF(IF(COUNTIF($CZ$4:CZ135,CZ131)&gt;=MAX($D$4:$D$8),CZ131+5,CZ131)&gt;55,"",IF(COUNTIF($CZ$4:CZ135,CZ131)&gt;=MAX($D$4:$D$8),CZ131+5,CZ131))</f>
        <v>#VALUE!</v>
      </c>
      <c r="DA136" s="1" t="e">
        <f t="shared" si="139"/>
        <v>#VALUE!</v>
      </c>
      <c r="DB136" s="8" t="str">
        <f t="shared" si="112"/>
        <v/>
      </c>
    </row>
    <row r="137" spans="5:106" x14ac:dyDescent="0.15">
      <c r="E137" s="1">
        <v>134</v>
      </c>
      <c r="F137" s="1">
        <f t="shared" si="140"/>
        <v>1</v>
      </c>
      <c r="G137" s="1">
        <f t="shared" si="103"/>
        <v>1</v>
      </c>
      <c r="H137" s="1">
        <f t="shared" si="141"/>
        <v>1</v>
      </c>
      <c r="I137" s="1">
        <f t="shared" ref="I137:I200" si="142">IF(I133+1&gt;MAX($D$4:$D$8),1,I133+1)</f>
        <v>1</v>
      </c>
      <c r="J137" s="1">
        <f t="shared" si="104"/>
        <v>1</v>
      </c>
      <c r="L137" s="1" t="str">
        <f>IF(ISERROR(HLOOKUP($C$10,$F$3:$J$253,135,0)),"",HLOOKUP($C$10,$F$3:$J$253,135,0))</f>
        <v/>
      </c>
      <c r="N137" s="67"/>
      <c r="W137" s="71" t="e">
        <f>IF(AA137="","",AA137*10+4)</f>
        <v>#VALUE!</v>
      </c>
      <c r="X137" s="71" t="str">
        <f>IF(OR(COUNTBLANK(AA137)=1,ISERROR(AA137)),"",COUNT(AA4:AA137))</f>
        <v/>
      </c>
      <c r="Y137" s="7" t="e">
        <f t="shared" si="113"/>
        <v>#VALUE!</v>
      </c>
      <c r="Z137" s="1" t="str">
        <f t="shared" si="127"/>
        <v/>
      </c>
      <c r="AA137" s="79" t="e">
        <f>IF(IF(COUNTIF(AA4:AA136,AA136)&gt;=MAX(D4:D8),AA136+1,AA136)&gt;50,"",IF(COUNTIF(AA4:AA136,AA136)&gt;=MAX(D4:D8),AA136+1,AA136))</f>
        <v>#VALUE!</v>
      </c>
      <c r="AB137" s="1" t="e">
        <f>IF(AA137="","",VLOOKUP(AA137,S4:U53,3,0))</f>
        <v>#VALUE!</v>
      </c>
      <c r="AC137" s="8" t="str">
        <f t="shared" si="114"/>
        <v/>
      </c>
      <c r="AE137" s="71" t="e">
        <f t="shared" si="115"/>
        <v>#VALUE!</v>
      </c>
      <c r="AF137" s="71" t="str">
        <f>IF(OR(COUNTBLANK(AI137)=1,ISERROR(AI137)),"",COUNT(AI4:AI137))</f>
        <v/>
      </c>
      <c r="AG137" s="7" t="e">
        <f t="shared" si="116"/>
        <v>#VALUE!</v>
      </c>
      <c r="AH137" s="1" t="str">
        <f>IF(ISERROR(INDEX(C4:C8,MATCH(G137,D4:D8,0))),"",INDEX(C4:C8,MATCH(G137,D4:D8,0)))</f>
        <v/>
      </c>
      <c r="AI137" s="79" t="e">
        <f>IF(IF(COUNTIF(AI4:AI135,AI135)&gt;=MAX(D4:D8),AI135+2,AI135)&gt;50,"",IF(COUNTIF(AI4:AI135,AI135)&gt;=MAX(D4:D8),AI135+2,AI135))</f>
        <v>#VALUE!</v>
      </c>
      <c r="AJ137" s="1" t="e">
        <f>IF(AI137="","",VLOOKUP(AI137,S4:U53,3,0))</f>
        <v>#VALUE!</v>
      </c>
      <c r="AK137" s="8" t="str">
        <f t="shared" si="117"/>
        <v/>
      </c>
      <c r="AM137" s="71" t="e">
        <f t="shared" si="118"/>
        <v>#VALUE!</v>
      </c>
      <c r="AN137" s="71" t="str">
        <f>IF(OR(COUNTBLANK(AQ137)=1,ISERROR(AQ137)),"",COUNT(AQ4:AQ137))</f>
        <v/>
      </c>
      <c r="AO137" s="7" t="e">
        <f t="shared" si="119"/>
        <v>#VALUE!</v>
      </c>
      <c r="AP137" s="1" t="str">
        <f>IF(ISERROR(INDEX(C4:C8,MATCH(H137,D4:D8,0))),"",INDEX(C4:C8,MATCH(H137,D4:D8,0)))</f>
        <v/>
      </c>
      <c r="AQ137" s="79" t="e">
        <f>IF(IF(COUNTIF(AQ4:AQ136,AQ134)&gt;=MAX(D4:D8),AQ134+3,AQ134)&gt;50,"",IF(COUNTIF(AQ4:AQ136,AQ134)&gt;=MAX(D4:D8),AQ134+3,AQ134))</f>
        <v>#VALUE!</v>
      </c>
      <c r="AR137" s="1" t="e">
        <f>IF(AQ137="","",VLOOKUP(AQ137,S4:U53,3,0))</f>
        <v>#VALUE!</v>
      </c>
      <c r="AS137" s="8" t="str">
        <f t="shared" si="120"/>
        <v/>
      </c>
      <c r="AU137" s="71" t="e">
        <f t="shared" si="121"/>
        <v>#VALUE!</v>
      </c>
      <c r="AV137" s="71" t="str">
        <f>IF(OR(COUNTBLANK(AY137)=1,ISERROR(AY137)),"",COUNT(AY4:AY137))</f>
        <v/>
      </c>
      <c r="AW137" s="7" t="e">
        <f t="shared" si="122"/>
        <v>#VALUE!</v>
      </c>
      <c r="AX137" s="1" t="str">
        <f>IF(ISERROR(INDEX(C4:C8,MATCH(I137,D4:D8,0))),"",INDEX(C4:C8,MATCH(I137,D4:D8,0)))</f>
        <v/>
      </c>
      <c r="AY137" s="79" t="e">
        <f>IF(IF(COUNTIF(AY4:AY136,AY133)&gt;=MAX(D4:D8),AY133+4,AY133)&gt;50,"",IF(COUNTIF(AY4:AY136,AY133)&gt;=MAX(D4:D8),AY133+4,AY133))</f>
        <v>#VALUE!</v>
      </c>
      <c r="AZ137" s="76" t="e">
        <f>IF(AY137="","",VLOOKUP(AY137,S4:U53,3,0))</f>
        <v>#VALUE!</v>
      </c>
      <c r="BA137" s="8" t="str">
        <f t="shared" si="123"/>
        <v/>
      </c>
      <c r="BC137" s="71" t="e">
        <f t="shared" si="124"/>
        <v>#VALUE!</v>
      </c>
      <c r="BD137" s="71" t="str">
        <f>IF(OR(COUNTBLANK(BG137)=1,ISERROR(BG137)),"",COUNT(BG4:BG137))</f>
        <v/>
      </c>
      <c r="BE137" s="7" t="e">
        <f t="shared" si="125"/>
        <v>#VALUE!</v>
      </c>
      <c r="BF137" s="1" t="str">
        <f>IF(ISERROR(INDEX(C4:C8,MATCH(J137,D4:D8,0))),"",INDEX(C4:C8,MATCH(J137,D4:D8,0)))</f>
        <v/>
      </c>
      <c r="BG137" s="79" t="e">
        <f>IF(IF(COUNTIF(BG4:BG136,BG132)&gt;=MAX(D4:D8),BG132+5,BG132)&gt;50,"",IF(COUNTIF(BG4:BG136,BG132)&gt;=MAX(D4:D8),BG132+5,BG132))</f>
        <v>#VALUE!</v>
      </c>
      <c r="BH137" s="76" t="e">
        <f>IF(BG137="","",VLOOKUP(BG137,S4:U53,3,0))</f>
        <v>#VALUE!</v>
      </c>
      <c r="BI137" s="8" t="str">
        <f t="shared" si="126"/>
        <v/>
      </c>
      <c r="BP137" s="71" t="e">
        <f>IF(BT137="","",BT137*10+4)</f>
        <v>#VALUE!</v>
      </c>
      <c r="BQ137" s="71" t="str">
        <f>IF(OR(COUNTBLANK(BT137)=1,ISERROR(BT137)),"",COUNT(BT4:BT137))</f>
        <v/>
      </c>
      <c r="BR137" s="7" t="e">
        <f t="shared" si="128"/>
        <v>#VALUE!</v>
      </c>
      <c r="BS137" s="1" t="str">
        <f t="shared" si="129"/>
        <v/>
      </c>
      <c r="BT137" s="79" t="e">
        <f>IF(IF(COUNTIF($BT$4:BT136,BT136)&gt;=MAX($D$4:$D$8),BT136+1,BT136)&gt;55,"",IF(COUNTIF($BT$4:BT136,BT136)&gt;=MAX($D$4:$D$8),BT136+1,BT136))</f>
        <v>#VALUE!</v>
      </c>
      <c r="BU137" s="1" t="e">
        <f t="shared" si="130"/>
        <v>#VALUE!</v>
      </c>
      <c r="BV137" s="8" t="str">
        <f t="shared" si="131"/>
        <v/>
      </c>
      <c r="BX137" s="71" t="e">
        <f t="shared" si="132"/>
        <v>#VALUE!</v>
      </c>
      <c r="BY137" s="71" t="str">
        <f>IF(OR(COUNTBLANK(CB137)=1,ISERROR(CB137)),"",COUNT($CB$4:CB137))</f>
        <v/>
      </c>
      <c r="BZ137" s="7" t="e">
        <f t="shared" si="133"/>
        <v>#VALUE!</v>
      </c>
      <c r="CA137" s="1" t="str">
        <f t="shared" si="134"/>
        <v/>
      </c>
      <c r="CB137" s="79" t="e">
        <f>IF(IF(COUNTIF($CB$4:CB136,CB135)&gt;=MAX($D$4:$D$8),CB135+2,CB135)&gt;55,"",IF(COUNTIF($CB$4:CB136,CB135)&gt;=MAX($D$4:$D$8),CB135+2,CB135))</f>
        <v>#VALUE!</v>
      </c>
      <c r="CC137" s="1" t="e">
        <f t="shared" si="135"/>
        <v>#VALUE!</v>
      </c>
      <c r="CD137" s="8" t="str">
        <f t="shared" si="136"/>
        <v/>
      </c>
      <c r="CF137" s="71" t="e">
        <f t="shared" si="105"/>
        <v>#VALUE!</v>
      </c>
      <c r="CG137" s="71" t="str">
        <f>IF(OR(COUNTBLANK(CJ137)=1,ISERROR(CJ137)),"",COUNT($CJ$4:CJ137))</f>
        <v/>
      </c>
      <c r="CH137" s="7" t="e">
        <f t="shared" si="106"/>
        <v>#VALUE!</v>
      </c>
      <c r="CI137" s="1" t="str">
        <f t="shared" si="107"/>
        <v/>
      </c>
      <c r="CJ137" s="79" t="e">
        <f>IF(IF(COUNTIF($CJ$4:CJ136,CJ134)&gt;=MAX($D$4:$D$8),CJ134+3,CJ134)&gt;55,"",IF(COUNTIF($CJ$4:CJ136,CJ134)&gt;=MAX($D$4:$D$8),CJ134+3,CJ134))</f>
        <v>#VALUE!</v>
      </c>
      <c r="CK137" s="1" t="e">
        <f t="shared" si="137"/>
        <v>#VALUE!</v>
      </c>
      <c r="CL137" s="8" t="str">
        <f t="shared" si="108"/>
        <v/>
      </c>
      <c r="CN137" s="71" t="e">
        <f t="shared" ref="CN137:CN200" si="143">IF(CR137="","",CR137*10+I137)</f>
        <v>#VALUE!</v>
      </c>
      <c r="CO137" s="71" t="str">
        <f>IF(OR(COUNTBLANK(CR137)=1,ISERROR(CR137)),"",COUNT($CR$4:CR137))</f>
        <v/>
      </c>
      <c r="CP137" s="7" t="e">
        <f t="shared" ref="CP137:CP200" si="144">IF(CR137&gt;25,"ナビ・","1・2年のWナビ・")</f>
        <v>#VALUE!</v>
      </c>
      <c r="CQ137" s="1" t="str">
        <f t="shared" ref="CQ137:CQ200" si="145">IF(ISERROR(INDEX($C$4:$C$8,MATCH(I137,$D$4:$D$8,0))),"",INDEX($C$4:$C$8,MATCH(I137,$D$4:$D$8,0)))</f>
        <v/>
      </c>
      <c r="CR137" s="79" t="e">
        <f>IF(IF(COUNTIF($CR$4:CR136,CR133)&gt;=MAX($D$4:$D$8),CR133+4,CR133)&gt;55,"",IF(COUNTIF($CR$4:CR136,CR133)&gt;=MAX($D$4:$D$8),CR133+4,CR133))</f>
        <v>#VALUE!</v>
      </c>
      <c r="CS137" s="1" t="e">
        <f t="shared" si="138"/>
        <v>#VALUE!</v>
      </c>
      <c r="CT137" s="8" t="str">
        <f t="shared" ref="CT137:CT200" si="146">IF(ISERROR(IF(COUNTIF(CQ137:CS137,"")&gt;=1,"",CP137&amp;CQ137&amp;"【"&amp;VLOOKUP(CR137,$BL$4:$BN$58,2,0)&amp;"】"&amp;CS137)),"",IF(COUNTIF(CQ137:CS137,"")&gt;=1,"",CP137&amp;CQ137&amp;"【"&amp;VLOOKUP(CR137,$BL$4:$BN$58,2,0)&amp;"】"&amp;CS137))</f>
        <v/>
      </c>
      <c r="CV137" s="71" t="e">
        <f t="shared" si="109"/>
        <v>#VALUE!</v>
      </c>
      <c r="CW137" s="71" t="str">
        <f>IF(OR(COUNTBLANK(CZ137)=1,ISERROR(CZ137)),"",COUNT($CZ$4:CZ137))</f>
        <v/>
      </c>
      <c r="CX137" s="7" t="e">
        <f t="shared" si="110"/>
        <v>#VALUE!</v>
      </c>
      <c r="CY137" s="1" t="str">
        <f t="shared" si="111"/>
        <v/>
      </c>
      <c r="CZ137" s="79" t="e">
        <f>IF(IF(COUNTIF($CZ$4:CZ136,CZ132)&gt;=MAX($D$4:$D$8),CZ132+5,CZ132)&gt;55,"",IF(COUNTIF($CZ$4:CZ136,CZ132)&gt;=MAX($D$4:$D$8),CZ132+5,CZ132))</f>
        <v>#VALUE!</v>
      </c>
      <c r="DA137" s="1" t="e">
        <f t="shared" si="139"/>
        <v>#VALUE!</v>
      </c>
      <c r="DB137" s="8" t="str">
        <f t="shared" si="112"/>
        <v/>
      </c>
    </row>
    <row r="138" spans="5:106" x14ac:dyDescent="0.15">
      <c r="E138" s="1">
        <v>135</v>
      </c>
      <c r="F138" s="1">
        <f t="shared" si="140"/>
        <v>1</v>
      </c>
      <c r="G138" s="1">
        <f t="shared" ref="G138:G201" si="147">IF(G136+1&gt;MAX($D$4:$D$8),1,G136+1)</f>
        <v>1</v>
      </c>
      <c r="H138" s="1">
        <f t="shared" si="141"/>
        <v>1</v>
      </c>
      <c r="I138" s="1">
        <f t="shared" si="142"/>
        <v>1</v>
      </c>
      <c r="J138" s="1">
        <f t="shared" ref="J138:J201" si="148">IF(J133+1&gt;MAX($D$4:$D$8),1,J133+1)</f>
        <v>1</v>
      </c>
      <c r="L138" s="1" t="str">
        <f>IF(ISERROR(HLOOKUP($C$10,$F$3:$J$253,136,0)),"",HLOOKUP($C$10,$F$3:$J$253,136,0))</f>
        <v/>
      </c>
      <c r="N138" s="67"/>
      <c r="W138" s="71" t="e">
        <f>IF(AA138="","",AA138*10+5)</f>
        <v>#VALUE!</v>
      </c>
      <c r="X138" s="71" t="str">
        <f>IF(OR(COUNTBLANK(AA138)=1,ISERROR(AA138)),"",COUNT(AA4:AA138))</f>
        <v/>
      </c>
      <c r="Y138" s="7" t="e">
        <f t="shared" si="113"/>
        <v>#VALUE!</v>
      </c>
      <c r="Z138" s="1" t="str">
        <f t="shared" si="127"/>
        <v/>
      </c>
      <c r="AA138" s="79" t="e">
        <f>IF(IF(COUNTIF(AA4:AA137,AA137)&gt;=MAX(D4:D8),AA137+1,AA137)&gt;50,"",IF(COUNTIF(AA4:AA137,AA137)&gt;=MAX(D4:D8),AA137+1,AA137))</f>
        <v>#VALUE!</v>
      </c>
      <c r="AB138" s="1" t="e">
        <f>IF(AA138="","",VLOOKUP(AA138,S4:U53,3,0))</f>
        <v>#VALUE!</v>
      </c>
      <c r="AC138" s="8" t="str">
        <f t="shared" si="114"/>
        <v/>
      </c>
      <c r="AE138" s="71" t="e">
        <f t="shared" si="115"/>
        <v>#VALUE!</v>
      </c>
      <c r="AF138" s="71" t="str">
        <f>IF(OR(COUNTBLANK(AI138)=1,ISERROR(AI138)),"",COUNT(AI4:AI138))</f>
        <v/>
      </c>
      <c r="AG138" s="7" t="e">
        <f t="shared" si="116"/>
        <v>#VALUE!</v>
      </c>
      <c r="AH138" s="1" t="str">
        <f>IF(ISERROR(INDEX(C4:C8,MATCH(G138,D4:D8,0))),"",INDEX(C4:C8,MATCH(G138,D4:D8,0)))</f>
        <v/>
      </c>
      <c r="AI138" s="79" t="e">
        <f>IF(IF(COUNTIF(AI4:AI137,AI136)&gt;=MAX(D4:D8),AI136+2,AI136)&gt;50,"",IF(COUNTIF(AI4:AI137,AI136)&gt;=MAX(D4:D8),AI136+2,AI136))</f>
        <v>#VALUE!</v>
      </c>
      <c r="AJ138" s="1" t="e">
        <f>IF(AI138="","",VLOOKUP(AI138,S4:U53,3,0))</f>
        <v>#VALUE!</v>
      </c>
      <c r="AK138" s="8" t="str">
        <f t="shared" si="117"/>
        <v/>
      </c>
      <c r="AM138" s="71" t="e">
        <f t="shared" si="118"/>
        <v>#VALUE!</v>
      </c>
      <c r="AN138" s="71" t="str">
        <f>IF(OR(COUNTBLANK(AQ138)=1,ISERROR(AQ138)),"",COUNT(AQ4:AQ138))</f>
        <v/>
      </c>
      <c r="AO138" s="7" t="e">
        <f t="shared" si="119"/>
        <v>#VALUE!</v>
      </c>
      <c r="AP138" s="1" t="str">
        <f>IF(ISERROR(INDEX(C4:C8,MATCH(H138,D4:D8,0))),"",INDEX(C4:C8,MATCH(H138,D4:D8,0)))</f>
        <v/>
      </c>
      <c r="AQ138" s="79" t="e">
        <f>IF(IF(COUNTIF(AQ4:AQ137,AQ135)&gt;=MAX(D4:D8),AQ135+3,AQ135)&gt;50,"",IF(COUNTIF(AQ4:AQ137,AQ135)&gt;=MAX(D4:D8),AQ135+3,AQ135))</f>
        <v>#VALUE!</v>
      </c>
      <c r="AR138" s="1" t="e">
        <f>IF(AQ138="","",VLOOKUP(AQ138,S4:U53,3,0))</f>
        <v>#VALUE!</v>
      </c>
      <c r="AS138" s="8" t="str">
        <f t="shared" si="120"/>
        <v/>
      </c>
      <c r="AU138" s="71" t="e">
        <f t="shared" si="121"/>
        <v>#VALUE!</v>
      </c>
      <c r="AV138" s="71" t="str">
        <f>IF(OR(COUNTBLANK(AY138)=1,ISERROR(AY138)),"",COUNT(AY4:AY138))</f>
        <v/>
      </c>
      <c r="AW138" s="7" t="e">
        <f t="shared" si="122"/>
        <v>#VALUE!</v>
      </c>
      <c r="AX138" s="1" t="str">
        <f>IF(ISERROR(INDEX(C4:C8,MATCH(I138,D4:D8,0))),"",INDEX(C4:C8,MATCH(I138,D4:D8,0)))</f>
        <v/>
      </c>
      <c r="AY138" s="79" t="e">
        <f>IF(IF(COUNTIF(AY4:AY137,AY134)&gt;=MAX(D4:D8),AY134+4,AY134)&gt;50,"",IF(COUNTIF(AY4:AY137,AY134)&gt;=MAX(D4:D8),AY134+4,AY134))</f>
        <v>#VALUE!</v>
      </c>
      <c r="AZ138" s="76" t="e">
        <f>IF(AY138="","",VLOOKUP(AY138,S4:U53,3,0))</f>
        <v>#VALUE!</v>
      </c>
      <c r="BA138" s="8" t="str">
        <f t="shared" si="123"/>
        <v/>
      </c>
      <c r="BC138" s="71" t="e">
        <f t="shared" si="124"/>
        <v>#VALUE!</v>
      </c>
      <c r="BD138" s="71" t="str">
        <f>IF(OR(COUNTBLANK(BG138)=1,ISERROR(BG138)),"",COUNT(BG4:BG138))</f>
        <v/>
      </c>
      <c r="BE138" s="7" t="e">
        <f t="shared" si="125"/>
        <v>#VALUE!</v>
      </c>
      <c r="BF138" s="1" t="str">
        <f>IF(ISERROR(INDEX(C4:C8,MATCH(J138,D4:D8,0))),"",INDEX(C4:C8,MATCH(J138,D4:D8,0)))</f>
        <v/>
      </c>
      <c r="BG138" s="79" t="e">
        <f>IF(IF(COUNTIF(BG4:BG137,BG133)&gt;=MAX(D4:D8),BG133+5,BG133)&gt;50,"",IF(COUNTIF(BG4:BG137,BG133)&gt;=MAX(D4:D8),BG133+5,BG133))</f>
        <v>#VALUE!</v>
      </c>
      <c r="BH138" s="76" t="e">
        <f>IF(BG138="","",VLOOKUP(BG138,S4:U53,3,0))</f>
        <v>#VALUE!</v>
      </c>
      <c r="BI138" s="8" t="str">
        <f t="shared" si="126"/>
        <v/>
      </c>
      <c r="BP138" s="71" t="e">
        <f>IF(BT138="","",BT138*10+5)</f>
        <v>#VALUE!</v>
      </c>
      <c r="BQ138" s="71" t="str">
        <f>IF(OR(COUNTBLANK(BT138)=1,ISERROR(BT138)),"",COUNT(BT4:BT138))</f>
        <v/>
      </c>
      <c r="BR138" s="7" t="e">
        <f t="shared" si="128"/>
        <v>#VALUE!</v>
      </c>
      <c r="BS138" s="1" t="str">
        <f t="shared" si="129"/>
        <v/>
      </c>
      <c r="BT138" s="79" t="e">
        <f>IF(IF(COUNTIF($BT$4:BT137,BT137)&gt;=MAX($D$4:$D$8),BT137+1,BT137)&gt;55,"",IF(COUNTIF($BT$4:BT137,BT137)&gt;=MAX($D$4:$D$8),BT137+1,BT137))</f>
        <v>#VALUE!</v>
      </c>
      <c r="BU138" s="1" t="e">
        <f t="shared" si="130"/>
        <v>#VALUE!</v>
      </c>
      <c r="BV138" s="8" t="str">
        <f t="shared" si="131"/>
        <v/>
      </c>
      <c r="BX138" s="71" t="e">
        <f t="shared" si="132"/>
        <v>#VALUE!</v>
      </c>
      <c r="BY138" s="71" t="str">
        <f>IF(OR(COUNTBLANK(CB138)=1,ISERROR(CB138)),"",COUNT($CB$4:CB138))</f>
        <v/>
      </c>
      <c r="BZ138" s="7" t="e">
        <f t="shared" si="133"/>
        <v>#VALUE!</v>
      </c>
      <c r="CA138" s="1" t="str">
        <f t="shared" si="134"/>
        <v/>
      </c>
      <c r="CB138" s="79" t="e">
        <f>IF(IF(COUNTIF($CB$4:CB137,CB136)&gt;=MAX($D$4:$D$8),CB136+2,CB136)&gt;55,"",IF(COUNTIF($CB$4:CB137,CB136)&gt;=MAX($D$4:$D$8),CB136+2,CB136))</f>
        <v>#VALUE!</v>
      </c>
      <c r="CC138" s="1" t="e">
        <f t="shared" si="135"/>
        <v>#VALUE!</v>
      </c>
      <c r="CD138" s="8" t="str">
        <f t="shared" si="136"/>
        <v/>
      </c>
      <c r="CF138" s="71" t="e">
        <f t="shared" si="105"/>
        <v>#VALUE!</v>
      </c>
      <c r="CG138" s="71" t="str">
        <f>IF(OR(COUNTBLANK(CJ138)=1,ISERROR(CJ138)),"",COUNT($CJ$4:CJ138))</f>
        <v/>
      </c>
      <c r="CH138" s="7" t="e">
        <f t="shared" si="106"/>
        <v>#VALUE!</v>
      </c>
      <c r="CI138" s="1" t="str">
        <f t="shared" si="107"/>
        <v/>
      </c>
      <c r="CJ138" s="79" t="e">
        <f>IF(IF(COUNTIF($CJ$4:CJ137,CJ135)&gt;=MAX($D$4:$D$8),CJ135+3,CJ135)&gt;55,"",IF(COUNTIF($CJ$4:CJ137,CJ135)&gt;=MAX($D$4:$D$8),CJ135+3,CJ135))</f>
        <v>#VALUE!</v>
      </c>
      <c r="CK138" s="1" t="e">
        <f t="shared" si="137"/>
        <v>#VALUE!</v>
      </c>
      <c r="CL138" s="8" t="str">
        <f t="shared" si="108"/>
        <v/>
      </c>
      <c r="CN138" s="71" t="e">
        <f t="shared" si="143"/>
        <v>#VALUE!</v>
      </c>
      <c r="CO138" s="71" t="str">
        <f>IF(OR(COUNTBLANK(CR138)=1,ISERROR(CR138)),"",COUNT($CR$4:CR138))</f>
        <v/>
      </c>
      <c r="CP138" s="7" t="e">
        <f t="shared" si="144"/>
        <v>#VALUE!</v>
      </c>
      <c r="CQ138" s="1" t="str">
        <f t="shared" si="145"/>
        <v/>
      </c>
      <c r="CR138" s="79" t="e">
        <f>IF(IF(COUNTIF($CR$4:CR137,CR134)&gt;=MAX($D$4:$D$8),CR134+4,CR134)&gt;55,"",IF(COUNTIF($CR$4:CR137,CR134)&gt;=MAX($D$4:$D$8),CR134+4,CR134))</f>
        <v>#VALUE!</v>
      </c>
      <c r="CS138" s="1" t="e">
        <f t="shared" si="138"/>
        <v>#VALUE!</v>
      </c>
      <c r="CT138" s="8" t="str">
        <f t="shared" si="146"/>
        <v/>
      </c>
      <c r="CV138" s="71" t="e">
        <f t="shared" si="109"/>
        <v>#VALUE!</v>
      </c>
      <c r="CW138" s="71" t="str">
        <f>IF(OR(COUNTBLANK(CZ138)=1,ISERROR(CZ138)),"",COUNT($CZ$4:CZ138))</f>
        <v/>
      </c>
      <c r="CX138" s="7" t="e">
        <f t="shared" si="110"/>
        <v>#VALUE!</v>
      </c>
      <c r="CY138" s="1" t="str">
        <f t="shared" si="111"/>
        <v/>
      </c>
      <c r="CZ138" s="79" t="e">
        <f>IF(IF(COUNTIF($CZ$4:CZ137,CZ133)&gt;=MAX($D$4:$D$8),CZ133+5,CZ133)&gt;55,"",IF(COUNTIF($CZ$4:CZ137,CZ133)&gt;=MAX($D$4:$D$8),CZ133+5,CZ133))</f>
        <v>#VALUE!</v>
      </c>
      <c r="DA138" s="1" t="e">
        <f t="shared" si="139"/>
        <v>#VALUE!</v>
      </c>
      <c r="DB138" s="8" t="str">
        <f t="shared" si="112"/>
        <v/>
      </c>
    </row>
    <row r="139" spans="5:106" x14ac:dyDescent="0.15">
      <c r="E139" s="1">
        <v>136</v>
      </c>
      <c r="F139" s="1">
        <f t="shared" si="140"/>
        <v>1</v>
      </c>
      <c r="G139" s="1">
        <f t="shared" si="147"/>
        <v>1</v>
      </c>
      <c r="H139" s="1">
        <f t="shared" si="141"/>
        <v>1</v>
      </c>
      <c r="I139" s="1">
        <f t="shared" si="142"/>
        <v>1</v>
      </c>
      <c r="J139" s="1">
        <f t="shared" si="148"/>
        <v>1</v>
      </c>
      <c r="L139" s="1" t="str">
        <f>IF(ISERROR(HLOOKUP($C$10,$F$3:$J$253,137,0)),"",HLOOKUP($C$10,$F$3:$J$253,137,0))</f>
        <v/>
      </c>
      <c r="N139" s="67"/>
      <c r="W139" s="71" t="e">
        <f>IF(AA139="","",AA139*10+1)</f>
        <v>#VALUE!</v>
      </c>
      <c r="X139" s="71" t="str">
        <f>IF(OR(COUNTBLANK(AA139)=1,ISERROR(AA139)),"",COUNT(AA4:AA139))</f>
        <v/>
      </c>
      <c r="Y139" s="7" t="e">
        <f t="shared" si="113"/>
        <v>#VALUE!</v>
      </c>
      <c r="Z139" s="1" t="str">
        <f t="shared" si="127"/>
        <v/>
      </c>
      <c r="AA139" s="79" t="e">
        <f>IF(IF(COUNTIF(AA4:AA138,AA138)&gt;=MAX(D4:D8),AA138+1,AA138)&gt;50,"",IF(COUNTIF(AA4:AA138,AA138)&gt;=MAX(D4:D8),AA138+1,AA138))</f>
        <v>#VALUE!</v>
      </c>
      <c r="AB139" s="1" t="e">
        <f>IF(AA139="","",VLOOKUP(AA139,S4:U53,3,0))</f>
        <v>#VALUE!</v>
      </c>
      <c r="AC139" s="8" t="str">
        <f t="shared" si="114"/>
        <v/>
      </c>
      <c r="AE139" s="71" t="e">
        <f t="shared" si="115"/>
        <v>#VALUE!</v>
      </c>
      <c r="AF139" s="71" t="str">
        <f>IF(OR(COUNTBLANK(AI139)=1,ISERROR(AI139)),"",COUNT(AI4:AI139))</f>
        <v/>
      </c>
      <c r="AG139" s="7" t="e">
        <f t="shared" si="116"/>
        <v>#VALUE!</v>
      </c>
      <c r="AH139" s="1" t="str">
        <f>IF(ISERROR(INDEX(C4:C8,MATCH(G139,D4:D8,0))),"",INDEX(C4:C8,MATCH(G139,D4:D8,0)))</f>
        <v/>
      </c>
      <c r="AI139" s="79" t="e">
        <f>IF(IF(COUNTIF(AI4:AI137,AI137)&gt;=MAX(D4:D8),AI137+2,AI137)&gt;50,"",IF(COUNTIF(AI4:AI137,AI137)&gt;=MAX(D4:D8),AI137+2,AI137))</f>
        <v>#VALUE!</v>
      </c>
      <c r="AJ139" s="1" t="e">
        <f>IF(AI139="","",VLOOKUP(AI139,S4:U53,3,0))</f>
        <v>#VALUE!</v>
      </c>
      <c r="AK139" s="8" t="str">
        <f t="shared" si="117"/>
        <v/>
      </c>
      <c r="AM139" s="71" t="e">
        <f t="shared" si="118"/>
        <v>#VALUE!</v>
      </c>
      <c r="AN139" s="71" t="str">
        <f>IF(OR(COUNTBLANK(AQ139)=1,ISERROR(AQ139)),"",COUNT(AQ4:AQ139))</f>
        <v/>
      </c>
      <c r="AO139" s="7" t="e">
        <f t="shared" si="119"/>
        <v>#VALUE!</v>
      </c>
      <c r="AP139" s="1" t="str">
        <f>IF(ISERROR(INDEX(C4:C8,MATCH(H139,D4:D8,0))),"",INDEX(C4:C8,MATCH(H139,D4:D8,0)))</f>
        <v/>
      </c>
      <c r="AQ139" s="79" t="e">
        <f>IF(IF(COUNTIF(AQ4:AQ138,AQ136)&gt;=MAX(D4:D8),AQ136+3,AQ136)&gt;50,"",IF(COUNTIF(AQ4:AQ138,AQ136)&gt;=MAX(D4:D8),AQ136+3,AQ136))</f>
        <v>#VALUE!</v>
      </c>
      <c r="AR139" s="1" t="e">
        <f>IF(AQ139="","",VLOOKUP(AQ139,S4:U53,3,0))</f>
        <v>#VALUE!</v>
      </c>
      <c r="AS139" s="8" t="str">
        <f t="shared" si="120"/>
        <v/>
      </c>
      <c r="AU139" s="71" t="e">
        <f t="shared" si="121"/>
        <v>#VALUE!</v>
      </c>
      <c r="AV139" s="71" t="str">
        <f>IF(OR(COUNTBLANK(AY139)=1,ISERROR(AY139)),"",COUNT(AY4:AY139))</f>
        <v/>
      </c>
      <c r="AW139" s="7" t="e">
        <f t="shared" si="122"/>
        <v>#VALUE!</v>
      </c>
      <c r="AX139" s="1" t="str">
        <f>IF(ISERROR(INDEX(C4:C8,MATCH(I139,D4:D8,0))),"",INDEX(C4:C8,MATCH(I139,D4:D8,0)))</f>
        <v/>
      </c>
      <c r="AY139" s="79" t="e">
        <f>IF(IF(COUNTIF(AY4:AY138,AY135)&gt;=MAX(D4:D8),AY135+4,AY135)&gt;50,"",IF(COUNTIF(AY4:AY138,AY135)&gt;=MAX(D4:D8),AY135+4,AY135))</f>
        <v>#VALUE!</v>
      </c>
      <c r="AZ139" s="76" t="e">
        <f>IF(AY139="","",VLOOKUP(AY139,S4:U53,3,0))</f>
        <v>#VALUE!</v>
      </c>
      <c r="BA139" s="8" t="str">
        <f t="shared" si="123"/>
        <v/>
      </c>
      <c r="BC139" s="71" t="e">
        <f t="shared" si="124"/>
        <v>#VALUE!</v>
      </c>
      <c r="BD139" s="71" t="str">
        <f>IF(OR(COUNTBLANK(BG139)=1,ISERROR(BG139)),"",COUNT(BG4:BG139))</f>
        <v/>
      </c>
      <c r="BE139" s="7" t="e">
        <f t="shared" si="125"/>
        <v>#VALUE!</v>
      </c>
      <c r="BF139" s="1" t="str">
        <f>IF(ISERROR(INDEX(C4:C8,MATCH(J139,D4:D8,0))),"",INDEX(C4:C8,MATCH(J139,D4:D8,0)))</f>
        <v/>
      </c>
      <c r="BG139" s="79" t="e">
        <f>IF(IF(COUNTIF(BG4:BG138,BG134)&gt;=MAX(D4:D8),BG134+5,BG134)&gt;50,"",IF(COUNTIF(BG4:BG138,BG134)&gt;=MAX(D4:D8),BG134+5,BG134))</f>
        <v>#VALUE!</v>
      </c>
      <c r="BH139" s="76" t="e">
        <f>IF(BG139="","",VLOOKUP(BG139,S4:U53,3,0))</f>
        <v>#VALUE!</v>
      </c>
      <c r="BI139" s="8" t="str">
        <f t="shared" si="126"/>
        <v/>
      </c>
      <c r="BP139" s="71" t="e">
        <f>IF(BT139="","",BT139*10+1)</f>
        <v>#VALUE!</v>
      </c>
      <c r="BQ139" s="71" t="str">
        <f>IF(OR(COUNTBLANK(BT139)=1,ISERROR(BT139)),"",COUNT(BT4:BT139))</f>
        <v/>
      </c>
      <c r="BR139" s="7" t="e">
        <f t="shared" si="128"/>
        <v>#VALUE!</v>
      </c>
      <c r="BS139" s="1" t="str">
        <f t="shared" si="129"/>
        <v/>
      </c>
      <c r="BT139" s="79" t="e">
        <f>IF(IF(COUNTIF($BT$4:BT138,BT138)&gt;=MAX($D$4:$D$8),BT138+1,BT138)&gt;55,"",IF(COUNTIF($BT$4:BT138,BT138)&gt;=MAX($D$4:$D$8),BT138+1,BT138))</f>
        <v>#VALUE!</v>
      </c>
      <c r="BU139" s="1" t="e">
        <f t="shared" si="130"/>
        <v>#VALUE!</v>
      </c>
      <c r="BV139" s="8" t="str">
        <f t="shared" si="131"/>
        <v/>
      </c>
      <c r="BX139" s="71" t="e">
        <f t="shared" si="132"/>
        <v>#VALUE!</v>
      </c>
      <c r="BY139" s="71" t="str">
        <f>IF(OR(COUNTBLANK(CB139)=1,ISERROR(CB139)),"",COUNT($CB$4:CB139))</f>
        <v/>
      </c>
      <c r="BZ139" s="7" t="e">
        <f t="shared" si="133"/>
        <v>#VALUE!</v>
      </c>
      <c r="CA139" s="1" t="str">
        <f t="shared" si="134"/>
        <v/>
      </c>
      <c r="CB139" s="79" t="e">
        <f>IF(IF(COUNTIF($CB$4:CB138,CB137)&gt;=MAX($D$4:$D$8),CB137+2,CB137)&gt;55,"",IF(COUNTIF($CB$4:CB138,CB137)&gt;=MAX($D$4:$D$8),CB137+2,CB137))</f>
        <v>#VALUE!</v>
      </c>
      <c r="CC139" s="1" t="e">
        <f t="shared" si="135"/>
        <v>#VALUE!</v>
      </c>
      <c r="CD139" s="8" t="str">
        <f t="shared" si="136"/>
        <v/>
      </c>
      <c r="CF139" s="71" t="e">
        <f t="shared" si="105"/>
        <v>#VALUE!</v>
      </c>
      <c r="CG139" s="71" t="str">
        <f>IF(OR(COUNTBLANK(CJ139)=1,ISERROR(CJ139)),"",COUNT($CJ$4:CJ139))</f>
        <v/>
      </c>
      <c r="CH139" s="7" t="e">
        <f t="shared" si="106"/>
        <v>#VALUE!</v>
      </c>
      <c r="CI139" s="1" t="str">
        <f t="shared" si="107"/>
        <v/>
      </c>
      <c r="CJ139" s="79" t="e">
        <f>IF(IF(COUNTIF($CJ$4:CJ138,CJ136)&gt;=MAX($D$4:$D$8),CJ136+3,CJ136)&gt;55,"",IF(COUNTIF($CJ$4:CJ138,CJ136)&gt;=MAX($D$4:$D$8),CJ136+3,CJ136))</f>
        <v>#VALUE!</v>
      </c>
      <c r="CK139" s="1" t="e">
        <f t="shared" si="137"/>
        <v>#VALUE!</v>
      </c>
      <c r="CL139" s="8" t="str">
        <f t="shared" si="108"/>
        <v/>
      </c>
      <c r="CN139" s="71" t="e">
        <f t="shared" si="143"/>
        <v>#VALUE!</v>
      </c>
      <c r="CO139" s="71" t="str">
        <f>IF(OR(COUNTBLANK(CR139)=1,ISERROR(CR139)),"",COUNT($CR$4:CR139))</f>
        <v/>
      </c>
      <c r="CP139" s="7" t="e">
        <f t="shared" si="144"/>
        <v>#VALUE!</v>
      </c>
      <c r="CQ139" s="1" t="str">
        <f t="shared" si="145"/>
        <v/>
      </c>
      <c r="CR139" s="79" t="e">
        <f>IF(IF(COUNTIF($CR$4:CR138,CR135)&gt;=MAX($D$4:$D$8),CR135+4,CR135)&gt;55,"",IF(COUNTIF($CR$4:CR138,CR135)&gt;=MAX($D$4:$D$8),CR135+4,CR135))</f>
        <v>#VALUE!</v>
      </c>
      <c r="CS139" s="1" t="e">
        <f t="shared" si="138"/>
        <v>#VALUE!</v>
      </c>
      <c r="CT139" s="8" t="str">
        <f t="shared" si="146"/>
        <v/>
      </c>
      <c r="CV139" s="71" t="e">
        <f t="shared" si="109"/>
        <v>#VALUE!</v>
      </c>
      <c r="CW139" s="71" t="str">
        <f>IF(OR(COUNTBLANK(CZ139)=1,ISERROR(CZ139)),"",COUNT($CZ$4:CZ139))</f>
        <v/>
      </c>
      <c r="CX139" s="7" t="e">
        <f t="shared" si="110"/>
        <v>#VALUE!</v>
      </c>
      <c r="CY139" s="1" t="str">
        <f t="shared" si="111"/>
        <v/>
      </c>
      <c r="CZ139" s="79" t="e">
        <f>IF(IF(COUNTIF($CZ$4:CZ138,CZ134)&gt;=MAX($D$4:$D$8),CZ134+5,CZ134)&gt;55,"",IF(COUNTIF($CZ$4:CZ138,CZ134)&gt;=MAX($D$4:$D$8),CZ134+5,CZ134))</f>
        <v>#VALUE!</v>
      </c>
      <c r="DA139" s="1" t="e">
        <f t="shared" si="139"/>
        <v>#VALUE!</v>
      </c>
      <c r="DB139" s="8" t="str">
        <f t="shared" si="112"/>
        <v/>
      </c>
    </row>
    <row r="140" spans="5:106" x14ac:dyDescent="0.15">
      <c r="E140" s="1">
        <v>137</v>
      </c>
      <c r="F140" s="1">
        <f t="shared" si="140"/>
        <v>1</v>
      </c>
      <c r="G140" s="1">
        <f t="shared" si="147"/>
        <v>1</v>
      </c>
      <c r="H140" s="1">
        <f t="shared" si="141"/>
        <v>1</v>
      </c>
      <c r="I140" s="1">
        <f t="shared" si="142"/>
        <v>1</v>
      </c>
      <c r="J140" s="1">
        <f t="shared" si="148"/>
        <v>1</v>
      </c>
      <c r="L140" s="1" t="str">
        <f>IF(ISERROR(HLOOKUP($C$10,$F$3:$J$253,138,0)),"",HLOOKUP($C$10,$F$3:$J$253,138,0))</f>
        <v/>
      </c>
      <c r="N140" s="67"/>
      <c r="W140" s="71" t="e">
        <f>IF(AA140="","",AA140*10+2)</f>
        <v>#VALUE!</v>
      </c>
      <c r="X140" s="71" t="str">
        <f>IF(OR(COUNTBLANK(AA140)=1,ISERROR(AA140)),"",COUNT(AA4:AA140))</f>
        <v/>
      </c>
      <c r="Y140" s="7" t="e">
        <f t="shared" si="113"/>
        <v>#VALUE!</v>
      </c>
      <c r="Z140" s="1" t="str">
        <f t="shared" si="127"/>
        <v/>
      </c>
      <c r="AA140" s="79" t="e">
        <f>IF(IF(COUNTIF(AA4:AA139,AA139)&gt;=MAX(D4:D8),AA139+1,AA139)&gt;50,"",IF(COUNTIF(AA4:AA139,AA139)&gt;=MAX(D4:D8),AA139+1,AA139))</f>
        <v>#VALUE!</v>
      </c>
      <c r="AB140" s="1" t="e">
        <f>IF(AA140="","",VLOOKUP(AA140,S4:U53,3,0))</f>
        <v>#VALUE!</v>
      </c>
      <c r="AC140" s="8" t="str">
        <f t="shared" si="114"/>
        <v/>
      </c>
      <c r="AE140" s="71" t="e">
        <f t="shared" si="115"/>
        <v>#VALUE!</v>
      </c>
      <c r="AF140" s="71" t="str">
        <f>IF(OR(COUNTBLANK(AI140)=1,ISERROR(AI140)),"",COUNT(AI4:AI140))</f>
        <v/>
      </c>
      <c r="AG140" s="7" t="e">
        <f t="shared" si="116"/>
        <v>#VALUE!</v>
      </c>
      <c r="AH140" s="1" t="str">
        <f>IF(ISERROR(INDEX(C4:C8,MATCH(G140,D4:D8,0))),"",INDEX(C4:C8,MATCH(G140,D4:D8,0)))</f>
        <v/>
      </c>
      <c r="AI140" s="79" t="e">
        <f>IF(IF(COUNTIF(AI4:AI139,AI138)&gt;=MAX(D4:D8),AI138+2,AI138)&gt;50,"",IF(COUNTIF(AI4:AI139,AI138)&gt;=MAX(D4:D8),AI138+2,AI138))</f>
        <v>#VALUE!</v>
      </c>
      <c r="AJ140" s="1" t="e">
        <f>IF(AI140="","",VLOOKUP(AI140,S4:U53,3,0))</f>
        <v>#VALUE!</v>
      </c>
      <c r="AK140" s="8" t="str">
        <f t="shared" si="117"/>
        <v/>
      </c>
      <c r="AM140" s="71" t="e">
        <f t="shared" si="118"/>
        <v>#VALUE!</v>
      </c>
      <c r="AN140" s="71" t="str">
        <f>IF(OR(COUNTBLANK(AQ140)=1,ISERROR(AQ140)),"",COUNT(AQ4:AQ140))</f>
        <v/>
      </c>
      <c r="AO140" s="7" t="e">
        <f t="shared" si="119"/>
        <v>#VALUE!</v>
      </c>
      <c r="AP140" s="1" t="str">
        <f>IF(ISERROR(INDEX(C4:C8,MATCH(H140,D4:D8,0))),"",INDEX(C4:C8,MATCH(H140,D4:D8,0)))</f>
        <v/>
      </c>
      <c r="AQ140" s="79" t="e">
        <f>IF(IF(COUNTIF(AQ4:AQ139,AQ137)&gt;=MAX(D4:D8),AQ137+3,AQ137)&gt;50,"",IF(COUNTIF(AQ4:AQ139,AQ137)&gt;=MAX(D4:D8),AQ137+3,AQ137))</f>
        <v>#VALUE!</v>
      </c>
      <c r="AR140" s="1" t="e">
        <f>IF(AQ140="","",VLOOKUP(AQ140,S4:U53,3,0))</f>
        <v>#VALUE!</v>
      </c>
      <c r="AS140" s="8" t="str">
        <f t="shared" si="120"/>
        <v/>
      </c>
      <c r="AU140" s="71" t="e">
        <f t="shared" si="121"/>
        <v>#VALUE!</v>
      </c>
      <c r="AV140" s="71" t="str">
        <f>IF(OR(COUNTBLANK(AY140)=1,ISERROR(AY140)),"",COUNT(AY4:AY140))</f>
        <v/>
      </c>
      <c r="AW140" s="7" t="e">
        <f t="shared" si="122"/>
        <v>#VALUE!</v>
      </c>
      <c r="AX140" s="1" t="str">
        <f>IF(ISERROR(INDEX(C4:C8,MATCH(I140,D4:D8,0))),"",INDEX(C4:C8,MATCH(I140,D4:D8,0)))</f>
        <v/>
      </c>
      <c r="AY140" s="79" t="e">
        <f>IF(IF(COUNTIF(AY4:AY139,AY136)&gt;=MAX(D4:D8),AY136+4,AY136)&gt;50,"",IF(COUNTIF(AY4:AY139,AY136)&gt;=MAX(D4:D8),AY136+4,AY136))</f>
        <v>#VALUE!</v>
      </c>
      <c r="AZ140" s="76" t="e">
        <f>IF(AY140="","",VLOOKUP(AY140,S4:U53,3,0))</f>
        <v>#VALUE!</v>
      </c>
      <c r="BA140" s="8" t="str">
        <f t="shared" si="123"/>
        <v/>
      </c>
      <c r="BC140" s="71" t="e">
        <f t="shared" si="124"/>
        <v>#VALUE!</v>
      </c>
      <c r="BD140" s="71" t="str">
        <f>IF(OR(COUNTBLANK(BG140)=1,ISERROR(BG140)),"",COUNT(BG4:BG140))</f>
        <v/>
      </c>
      <c r="BE140" s="7" t="e">
        <f t="shared" si="125"/>
        <v>#VALUE!</v>
      </c>
      <c r="BF140" s="1" t="str">
        <f>IF(ISERROR(INDEX(C4:C8,MATCH(J140,D4:D8,0))),"",INDEX(C4:C8,MATCH(J140,D4:D8,0)))</f>
        <v/>
      </c>
      <c r="BG140" s="79" t="e">
        <f>IF(IF(COUNTIF(BG4:BG139,BG135)&gt;=MAX(D4:D8),BG135+5,BG135)&gt;50,"",IF(COUNTIF(BG4:BG139,BG135)&gt;=MAX(D4:D8),BG135+5,BG135))</f>
        <v>#VALUE!</v>
      </c>
      <c r="BH140" s="76" t="e">
        <f>IF(BG140="","",VLOOKUP(BG140,S4:U53,3,0))</f>
        <v>#VALUE!</v>
      </c>
      <c r="BI140" s="8" t="str">
        <f t="shared" si="126"/>
        <v/>
      </c>
      <c r="BP140" s="71" t="e">
        <f>IF(BT140="","",BT140*10+2)</f>
        <v>#VALUE!</v>
      </c>
      <c r="BQ140" s="71" t="str">
        <f>IF(OR(COUNTBLANK(BT140)=1,ISERROR(BT140)),"",COUNT(BT4:BT140))</f>
        <v/>
      </c>
      <c r="BR140" s="7" t="e">
        <f t="shared" si="128"/>
        <v>#VALUE!</v>
      </c>
      <c r="BS140" s="1" t="str">
        <f t="shared" si="129"/>
        <v/>
      </c>
      <c r="BT140" s="79" t="e">
        <f>IF(IF(COUNTIF($BT$4:BT139,BT139)&gt;=MAX($D$4:$D$8),BT139+1,BT139)&gt;55,"",IF(COUNTIF($BT$4:BT139,BT139)&gt;=MAX($D$4:$D$8),BT139+1,BT139))</f>
        <v>#VALUE!</v>
      </c>
      <c r="BU140" s="1" t="e">
        <f t="shared" si="130"/>
        <v>#VALUE!</v>
      </c>
      <c r="BV140" s="8" t="str">
        <f t="shared" si="131"/>
        <v/>
      </c>
      <c r="BX140" s="71" t="e">
        <f t="shared" si="132"/>
        <v>#VALUE!</v>
      </c>
      <c r="BY140" s="71" t="str">
        <f>IF(OR(COUNTBLANK(CB140)=1,ISERROR(CB140)),"",COUNT($CB$4:CB140))</f>
        <v/>
      </c>
      <c r="BZ140" s="7" t="e">
        <f t="shared" si="133"/>
        <v>#VALUE!</v>
      </c>
      <c r="CA140" s="1" t="str">
        <f t="shared" si="134"/>
        <v/>
      </c>
      <c r="CB140" s="79" t="e">
        <f>IF(IF(COUNTIF($CB$4:CB139,CB138)&gt;=MAX($D$4:$D$8),CB138+2,CB138)&gt;55,"",IF(COUNTIF($CB$4:CB139,CB138)&gt;=MAX($D$4:$D$8),CB138+2,CB138))</f>
        <v>#VALUE!</v>
      </c>
      <c r="CC140" s="1" t="e">
        <f t="shared" si="135"/>
        <v>#VALUE!</v>
      </c>
      <c r="CD140" s="8" t="str">
        <f t="shared" si="136"/>
        <v/>
      </c>
      <c r="CF140" s="71" t="e">
        <f t="shared" si="105"/>
        <v>#VALUE!</v>
      </c>
      <c r="CG140" s="71" t="str">
        <f>IF(OR(COUNTBLANK(CJ140)=1,ISERROR(CJ140)),"",COUNT($CJ$4:CJ140))</f>
        <v/>
      </c>
      <c r="CH140" s="7" t="e">
        <f t="shared" si="106"/>
        <v>#VALUE!</v>
      </c>
      <c r="CI140" s="1" t="str">
        <f t="shared" si="107"/>
        <v/>
      </c>
      <c r="CJ140" s="79" t="e">
        <f>IF(IF(COUNTIF($CJ$4:CJ139,CJ137)&gt;=MAX($D$4:$D$8),CJ137+3,CJ137)&gt;55,"",IF(COUNTIF($CJ$4:CJ139,CJ137)&gt;=MAX($D$4:$D$8),CJ137+3,CJ137))</f>
        <v>#VALUE!</v>
      </c>
      <c r="CK140" s="1" t="e">
        <f t="shared" si="137"/>
        <v>#VALUE!</v>
      </c>
      <c r="CL140" s="8" t="str">
        <f t="shared" si="108"/>
        <v/>
      </c>
      <c r="CN140" s="71" t="e">
        <f t="shared" si="143"/>
        <v>#VALUE!</v>
      </c>
      <c r="CO140" s="71" t="str">
        <f>IF(OR(COUNTBLANK(CR140)=1,ISERROR(CR140)),"",COUNT($CR$4:CR140))</f>
        <v/>
      </c>
      <c r="CP140" s="7" t="e">
        <f t="shared" si="144"/>
        <v>#VALUE!</v>
      </c>
      <c r="CQ140" s="1" t="str">
        <f t="shared" si="145"/>
        <v/>
      </c>
      <c r="CR140" s="79" t="e">
        <f>IF(IF(COUNTIF($CR$4:CR139,CR136)&gt;=MAX($D$4:$D$8),CR136+4,CR136)&gt;55,"",IF(COUNTIF($CR$4:CR139,CR136)&gt;=MAX($D$4:$D$8),CR136+4,CR136))</f>
        <v>#VALUE!</v>
      </c>
      <c r="CS140" s="1" t="e">
        <f t="shared" si="138"/>
        <v>#VALUE!</v>
      </c>
      <c r="CT140" s="8" t="str">
        <f t="shared" si="146"/>
        <v/>
      </c>
      <c r="CV140" s="71" t="e">
        <f t="shared" si="109"/>
        <v>#VALUE!</v>
      </c>
      <c r="CW140" s="71" t="str">
        <f>IF(OR(COUNTBLANK(CZ140)=1,ISERROR(CZ140)),"",COUNT($CZ$4:CZ140))</f>
        <v/>
      </c>
      <c r="CX140" s="7" t="e">
        <f t="shared" si="110"/>
        <v>#VALUE!</v>
      </c>
      <c r="CY140" s="1" t="str">
        <f t="shared" si="111"/>
        <v/>
      </c>
      <c r="CZ140" s="79" t="e">
        <f>IF(IF(COUNTIF($CZ$4:CZ139,CZ135)&gt;=MAX($D$4:$D$8),CZ135+5,CZ135)&gt;55,"",IF(COUNTIF($CZ$4:CZ139,CZ135)&gt;=MAX($D$4:$D$8),CZ135+5,CZ135))</f>
        <v>#VALUE!</v>
      </c>
      <c r="DA140" s="1" t="e">
        <f t="shared" si="139"/>
        <v>#VALUE!</v>
      </c>
      <c r="DB140" s="8" t="str">
        <f t="shared" si="112"/>
        <v/>
      </c>
    </row>
    <row r="141" spans="5:106" x14ac:dyDescent="0.15">
      <c r="E141" s="1">
        <v>138</v>
      </c>
      <c r="F141" s="1">
        <f t="shared" si="140"/>
        <v>1</v>
      </c>
      <c r="G141" s="1">
        <f t="shared" si="147"/>
        <v>1</v>
      </c>
      <c r="H141" s="1">
        <f t="shared" si="141"/>
        <v>1</v>
      </c>
      <c r="I141" s="1">
        <f t="shared" si="142"/>
        <v>1</v>
      </c>
      <c r="J141" s="1">
        <f t="shared" si="148"/>
        <v>1</v>
      </c>
      <c r="L141" s="1" t="str">
        <f>IF(ISERROR(HLOOKUP($C$10,$F$3:$J$253,139,0)),"",HLOOKUP($C$10,$F$3:$J$253,139,0))</f>
        <v/>
      </c>
      <c r="N141" s="67"/>
      <c r="W141" s="71" t="e">
        <f>IF(AA141="","",AA141*10+3)</f>
        <v>#VALUE!</v>
      </c>
      <c r="X141" s="71" t="str">
        <f>IF(OR(COUNTBLANK(AA141)=1,ISERROR(AA141)),"",COUNT(AA4:AA141))</f>
        <v/>
      </c>
      <c r="Y141" s="7" t="e">
        <f t="shared" si="113"/>
        <v>#VALUE!</v>
      </c>
      <c r="Z141" s="1" t="str">
        <f t="shared" si="127"/>
        <v/>
      </c>
      <c r="AA141" s="79" t="e">
        <f>IF(IF(COUNTIF(AA4:AA140,AA140)&gt;=MAX(D4:D8),AA140+1,AA140)&gt;50,"",IF(COUNTIF(AA4:AA140,AA140)&gt;=MAX(D4:D8),AA140+1,AA140))</f>
        <v>#VALUE!</v>
      </c>
      <c r="AB141" s="1" t="e">
        <f>IF(AA141="","",VLOOKUP(AA141,S4:U53,3,0))</f>
        <v>#VALUE!</v>
      </c>
      <c r="AC141" s="8" t="str">
        <f t="shared" si="114"/>
        <v/>
      </c>
      <c r="AE141" s="71" t="e">
        <f t="shared" si="115"/>
        <v>#VALUE!</v>
      </c>
      <c r="AF141" s="71" t="str">
        <f>IF(OR(COUNTBLANK(AI141)=1,ISERROR(AI141)),"",COUNT(AI4:AI141))</f>
        <v/>
      </c>
      <c r="AG141" s="7" t="e">
        <f t="shared" si="116"/>
        <v>#VALUE!</v>
      </c>
      <c r="AH141" s="1" t="str">
        <f>IF(ISERROR(INDEX(C4:C8,MATCH(G141,D4:D8,0))),"",INDEX(C4:C8,MATCH(G141,D4:D8,0)))</f>
        <v/>
      </c>
      <c r="AI141" s="79" t="e">
        <f>IF(IF(COUNTIF(AI4:AI139,AI139)&gt;=MAX(D4:D8),AI139+2,AI139)&gt;50,"",IF(COUNTIF(AI4:AI139,AI139)&gt;=MAX(D4:D8),AI139+2,AI139))</f>
        <v>#VALUE!</v>
      </c>
      <c r="AJ141" s="1" t="e">
        <f>IF(AI141="","",VLOOKUP(AI141,S4:U53,3,0))</f>
        <v>#VALUE!</v>
      </c>
      <c r="AK141" s="8" t="str">
        <f t="shared" si="117"/>
        <v/>
      </c>
      <c r="AM141" s="71" t="e">
        <f t="shared" si="118"/>
        <v>#VALUE!</v>
      </c>
      <c r="AN141" s="71" t="str">
        <f>IF(OR(COUNTBLANK(AQ141)=1,ISERROR(AQ141)),"",COUNT(AQ4:AQ141))</f>
        <v/>
      </c>
      <c r="AO141" s="7" t="e">
        <f t="shared" si="119"/>
        <v>#VALUE!</v>
      </c>
      <c r="AP141" s="1" t="str">
        <f>IF(ISERROR(INDEX(C4:C8,MATCH(H141,D4:D8,0))),"",INDEX(C4:C8,MATCH(H141,D4:D8,0)))</f>
        <v/>
      </c>
      <c r="AQ141" s="79" t="e">
        <f>IF(IF(COUNTIF(AQ4:AQ140,AQ138)&gt;=MAX(D4:D8),AQ138+3,AQ138)&gt;50,"",IF(COUNTIF(AQ4:AQ140,AQ138)&gt;=MAX(D4:D8),AQ138+3,AQ138))</f>
        <v>#VALUE!</v>
      </c>
      <c r="AR141" s="1" t="e">
        <f>IF(AQ141="","",VLOOKUP(AQ141,S4:U53,3,0))</f>
        <v>#VALUE!</v>
      </c>
      <c r="AS141" s="8" t="str">
        <f t="shared" si="120"/>
        <v/>
      </c>
      <c r="AU141" s="71" t="e">
        <f t="shared" si="121"/>
        <v>#VALUE!</v>
      </c>
      <c r="AV141" s="71" t="str">
        <f>IF(OR(COUNTBLANK(AY141)=1,ISERROR(AY141)),"",COUNT(AY4:AY141))</f>
        <v/>
      </c>
      <c r="AW141" s="7" t="e">
        <f t="shared" si="122"/>
        <v>#VALUE!</v>
      </c>
      <c r="AX141" s="1" t="str">
        <f>IF(ISERROR(INDEX(C4:C8,MATCH(I141,D4:D8,0))),"",INDEX(C4:C8,MATCH(I141,D4:D8,0)))</f>
        <v/>
      </c>
      <c r="AY141" s="79" t="e">
        <f>IF(IF(COUNTIF(AY4:AY140,AY137)&gt;=MAX(D4:D8),AY137+4,AY137)&gt;50,"",IF(COUNTIF(AY4:AY140,AY137)&gt;=MAX(D4:D8),AY137+4,AY137))</f>
        <v>#VALUE!</v>
      </c>
      <c r="AZ141" s="76" t="e">
        <f>IF(AY141="","",VLOOKUP(AY141,S4:U53,3,0))</f>
        <v>#VALUE!</v>
      </c>
      <c r="BA141" s="8" t="str">
        <f t="shared" si="123"/>
        <v/>
      </c>
      <c r="BC141" s="71" t="e">
        <f t="shared" si="124"/>
        <v>#VALUE!</v>
      </c>
      <c r="BD141" s="71" t="str">
        <f>IF(OR(COUNTBLANK(BG141)=1,ISERROR(BG141)),"",COUNT(BG4:BG141))</f>
        <v/>
      </c>
      <c r="BE141" s="7" t="e">
        <f t="shared" si="125"/>
        <v>#VALUE!</v>
      </c>
      <c r="BF141" s="1" t="str">
        <f>IF(ISERROR(INDEX(C4:C8,MATCH(J141,D4:D8,0))),"",INDEX(C4:C8,MATCH(J141,D4:D8,0)))</f>
        <v/>
      </c>
      <c r="BG141" s="79" t="e">
        <f>IF(IF(COUNTIF(BG4:BG140,BG136)&gt;=MAX(D4:D8),BG136+5,BG136)&gt;50,"",IF(COUNTIF(BG4:BG140,BG136)&gt;=MAX(D4:D8),BG136+5,BG136))</f>
        <v>#VALUE!</v>
      </c>
      <c r="BH141" s="76" t="e">
        <f>IF(BG141="","",VLOOKUP(BG141,S4:U53,3,0))</f>
        <v>#VALUE!</v>
      </c>
      <c r="BI141" s="8" t="str">
        <f t="shared" si="126"/>
        <v/>
      </c>
      <c r="BP141" s="71" t="e">
        <f>IF(BT141="","",BT141*10+3)</f>
        <v>#VALUE!</v>
      </c>
      <c r="BQ141" s="71" t="str">
        <f>IF(OR(COUNTBLANK(BT141)=1,ISERROR(BT141)),"",COUNT(BT4:BT141))</f>
        <v/>
      </c>
      <c r="BR141" s="7" t="e">
        <f t="shared" si="128"/>
        <v>#VALUE!</v>
      </c>
      <c r="BS141" s="1" t="str">
        <f t="shared" si="129"/>
        <v/>
      </c>
      <c r="BT141" s="79" t="e">
        <f>IF(IF(COUNTIF($BT$4:BT140,BT140)&gt;=MAX($D$4:$D$8),BT140+1,BT140)&gt;55,"",IF(COUNTIF($BT$4:BT140,BT140)&gt;=MAX($D$4:$D$8),BT140+1,BT140))</f>
        <v>#VALUE!</v>
      </c>
      <c r="BU141" s="1" t="e">
        <f t="shared" si="130"/>
        <v>#VALUE!</v>
      </c>
      <c r="BV141" s="8" t="str">
        <f t="shared" si="131"/>
        <v/>
      </c>
      <c r="BX141" s="71" t="e">
        <f t="shared" si="132"/>
        <v>#VALUE!</v>
      </c>
      <c r="BY141" s="71" t="str">
        <f>IF(OR(COUNTBLANK(CB141)=1,ISERROR(CB141)),"",COUNT($CB$4:CB141))</f>
        <v/>
      </c>
      <c r="BZ141" s="7" t="e">
        <f t="shared" si="133"/>
        <v>#VALUE!</v>
      </c>
      <c r="CA141" s="1" t="str">
        <f t="shared" si="134"/>
        <v/>
      </c>
      <c r="CB141" s="79" t="e">
        <f>IF(IF(COUNTIF($CB$4:CB140,CB139)&gt;=MAX($D$4:$D$8),CB139+2,CB139)&gt;55,"",IF(COUNTIF($CB$4:CB140,CB139)&gt;=MAX($D$4:$D$8),CB139+2,CB139))</f>
        <v>#VALUE!</v>
      </c>
      <c r="CC141" s="1" t="e">
        <f t="shared" si="135"/>
        <v>#VALUE!</v>
      </c>
      <c r="CD141" s="8" t="str">
        <f t="shared" si="136"/>
        <v/>
      </c>
      <c r="CF141" s="71" t="e">
        <f t="shared" si="105"/>
        <v>#VALUE!</v>
      </c>
      <c r="CG141" s="71" t="str">
        <f>IF(OR(COUNTBLANK(CJ141)=1,ISERROR(CJ141)),"",COUNT($CJ$4:CJ141))</f>
        <v/>
      </c>
      <c r="CH141" s="7" t="e">
        <f t="shared" si="106"/>
        <v>#VALUE!</v>
      </c>
      <c r="CI141" s="1" t="str">
        <f t="shared" si="107"/>
        <v/>
      </c>
      <c r="CJ141" s="79" t="e">
        <f>IF(IF(COUNTIF($CJ$4:CJ140,CJ138)&gt;=MAX($D$4:$D$8),CJ138+3,CJ138)&gt;55,"",IF(COUNTIF($CJ$4:CJ140,CJ138)&gt;=MAX($D$4:$D$8),CJ138+3,CJ138))</f>
        <v>#VALUE!</v>
      </c>
      <c r="CK141" s="1" t="e">
        <f t="shared" si="137"/>
        <v>#VALUE!</v>
      </c>
      <c r="CL141" s="8" t="str">
        <f t="shared" si="108"/>
        <v/>
      </c>
      <c r="CN141" s="71" t="e">
        <f t="shared" si="143"/>
        <v>#VALUE!</v>
      </c>
      <c r="CO141" s="71" t="str">
        <f>IF(OR(COUNTBLANK(CR141)=1,ISERROR(CR141)),"",COUNT($CR$4:CR141))</f>
        <v/>
      </c>
      <c r="CP141" s="7" t="e">
        <f t="shared" si="144"/>
        <v>#VALUE!</v>
      </c>
      <c r="CQ141" s="1" t="str">
        <f t="shared" si="145"/>
        <v/>
      </c>
      <c r="CR141" s="79" t="e">
        <f>IF(IF(COUNTIF($CR$4:CR140,CR137)&gt;=MAX($D$4:$D$8),CR137+4,CR137)&gt;55,"",IF(COUNTIF($CR$4:CR140,CR137)&gt;=MAX($D$4:$D$8),CR137+4,CR137))</f>
        <v>#VALUE!</v>
      </c>
      <c r="CS141" s="1" t="e">
        <f t="shared" si="138"/>
        <v>#VALUE!</v>
      </c>
      <c r="CT141" s="8" t="str">
        <f t="shared" si="146"/>
        <v/>
      </c>
      <c r="CV141" s="71" t="e">
        <f t="shared" si="109"/>
        <v>#VALUE!</v>
      </c>
      <c r="CW141" s="71" t="str">
        <f>IF(OR(COUNTBLANK(CZ141)=1,ISERROR(CZ141)),"",COUNT($CZ$4:CZ141))</f>
        <v/>
      </c>
      <c r="CX141" s="7" t="e">
        <f t="shared" si="110"/>
        <v>#VALUE!</v>
      </c>
      <c r="CY141" s="1" t="str">
        <f t="shared" si="111"/>
        <v/>
      </c>
      <c r="CZ141" s="79" t="e">
        <f>IF(IF(COUNTIF($CZ$4:CZ140,CZ136)&gt;=MAX($D$4:$D$8),CZ136+5,CZ136)&gt;55,"",IF(COUNTIF($CZ$4:CZ140,CZ136)&gt;=MAX($D$4:$D$8),CZ136+5,CZ136))</f>
        <v>#VALUE!</v>
      </c>
      <c r="DA141" s="1" t="e">
        <f t="shared" si="139"/>
        <v>#VALUE!</v>
      </c>
      <c r="DB141" s="8" t="str">
        <f t="shared" si="112"/>
        <v/>
      </c>
    </row>
    <row r="142" spans="5:106" x14ac:dyDescent="0.15">
      <c r="E142" s="1">
        <v>139</v>
      </c>
      <c r="F142" s="1">
        <f t="shared" si="140"/>
        <v>1</v>
      </c>
      <c r="G142" s="1">
        <f t="shared" si="147"/>
        <v>1</v>
      </c>
      <c r="H142" s="1">
        <f t="shared" si="141"/>
        <v>1</v>
      </c>
      <c r="I142" s="1">
        <f t="shared" si="142"/>
        <v>1</v>
      </c>
      <c r="J142" s="1">
        <f t="shared" si="148"/>
        <v>1</v>
      </c>
      <c r="L142" s="1" t="str">
        <f>IF(ISERROR(HLOOKUP($C$10,$F$3:$J$253,140,0)),"",HLOOKUP($C$10,$F$3:$J$253,140,0))</f>
        <v/>
      </c>
      <c r="N142" s="67"/>
      <c r="W142" s="71" t="e">
        <f>IF(AA142="","",AA142*10+4)</f>
        <v>#VALUE!</v>
      </c>
      <c r="X142" s="71" t="str">
        <f>IF(OR(COUNTBLANK(AA142)=1,ISERROR(AA142)),"",COUNT(AA4:AA142))</f>
        <v/>
      </c>
      <c r="Y142" s="7" t="e">
        <f t="shared" si="113"/>
        <v>#VALUE!</v>
      </c>
      <c r="Z142" s="1" t="str">
        <f t="shared" si="127"/>
        <v/>
      </c>
      <c r="AA142" s="79" t="e">
        <f>IF(IF(COUNTIF(AA4:AA141,AA141)&gt;=MAX(D4:D8),AA141+1,AA141)&gt;50,"",IF(COUNTIF(AA4:AA141,AA141)&gt;=MAX(D4:D8),AA141+1,AA141))</f>
        <v>#VALUE!</v>
      </c>
      <c r="AB142" s="1" t="e">
        <f>IF(AA142="","",VLOOKUP(AA142,S4:U53,3,0))</f>
        <v>#VALUE!</v>
      </c>
      <c r="AC142" s="8" t="str">
        <f t="shared" si="114"/>
        <v/>
      </c>
      <c r="AE142" s="71" t="e">
        <f t="shared" si="115"/>
        <v>#VALUE!</v>
      </c>
      <c r="AF142" s="71" t="str">
        <f>IF(OR(COUNTBLANK(AI142)=1,ISERROR(AI142)),"",COUNT(AI4:AI142))</f>
        <v/>
      </c>
      <c r="AG142" s="7" t="e">
        <f t="shared" si="116"/>
        <v>#VALUE!</v>
      </c>
      <c r="AH142" s="1" t="str">
        <f>IF(ISERROR(INDEX(C4:C8,MATCH(G142,D4:D8,0))),"",INDEX(C4:C8,MATCH(G142,D4:D8,0)))</f>
        <v/>
      </c>
      <c r="AI142" s="79" t="e">
        <f>IF(IF(COUNTIF(AI4:AI141,AI140)&gt;=MAX(D4:D8),AI140+2,AI140)&gt;50,"",IF(COUNTIF(AI4:AI141,AI140)&gt;=MAX(D4:D8),AI140+2,AI140))</f>
        <v>#VALUE!</v>
      </c>
      <c r="AJ142" s="1" t="e">
        <f>IF(AI142="","",VLOOKUP(AI142,S4:U53,3,0))</f>
        <v>#VALUE!</v>
      </c>
      <c r="AK142" s="8" t="str">
        <f t="shared" si="117"/>
        <v/>
      </c>
      <c r="AM142" s="71" t="e">
        <f t="shared" si="118"/>
        <v>#VALUE!</v>
      </c>
      <c r="AN142" s="71" t="str">
        <f>IF(OR(COUNTBLANK(AQ142)=1,ISERROR(AQ142)),"",COUNT(AQ4:AQ142))</f>
        <v/>
      </c>
      <c r="AO142" s="7" t="e">
        <f t="shared" si="119"/>
        <v>#VALUE!</v>
      </c>
      <c r="AP142" s="1" t="str">
        <f>IF(ISERROR(INDEX(C4:C8,MATCH(H142,D4:D8,0))),"",INDEX(C4:C8,MATCH(H142,D4:D8,0)))</f>
        <v/>
      </c>
      <c r="AQ142" s="79" t="e">
        <f>IF(IF(COUNTIF(AQ4:AQ141,AQ139)&gt;=MAX(D4:D8),AQ139+3,AQ139)&gt;50,"",IF(COUNTIF(AQ4:AQ141,AQ139)&gt;=MAX(D4:D8),AQ139+3,AQ139))</f>
        <v>#VALUE!</v>
      </c>
      <c r="AR142" s="1" t="e">
        <f>IF(AQ142="","",VLOOKUP(AQ142,S4:U53,3,0))</f>
        <v>#VALUE!</v>
      </c>
      <c r="AS142" s="8" t="str">
        <f t="shared" si="120"/>
        <v/>
      </c>
      <c r="AU142" s="71" t="e">
        <f t="shared" si="121"/>
        <v>#VALUE!</v>
      </c>
      <c r="AV142" s="71" t="str">
        <f>IF(OR(COUNTBLANK(AY142)=1,ISERROR(AY142)),"",COUNT(AY4:AY142))</f>
        <v/>
      </c>
      <c r="AW142" s="7" t="e">
        <f t="shared" si="122"/>
        <v>#VALUE!</v>
      </c>
      <c r="AX142" s="1" t="str">
        <f>IF(ISERROR(INDEX(C4:C8,MATCH(I142,D4:D8,0))),"",INDEX(C4:C8,MATCH(I142,D4:D8,0)))</f>
        <v/>
      </c>
      <c r="AY142" s="79" t="e">
        <f>IF(IF(COUNTIF(AY4:AY141,AY138)&gt;=MAX(D4:D8),AY138+4,AY138)&gt;50,"",IF(COUNTIF(AY4:AY141,AY138)&gt;=MAX(D4:D8),AY138+4,AY138))</f>
        <v>#VALUE!</v>
      </c>
      <c r="AZ142" s="76" t="e">
        <f>IF(AY142="","",VLOOKUP(AY142,S4:U53,3,0))</f>
        <v>#VALUE!</v>
      </c>
      <c r="BA142" s="8" t="str">
        <f t="shared" si="123"/>
        <v/>
      </c>
      <c r="BC142" s="71" t="e">
        <f t="shared" si="124"/>
        <v>#VALUE!</v>
      </c>
      <c r="BD142" s="71" t="str">
        <f>IF(OR(COUNTBLANK(BG142)=1,ISERROR(BG142)),"",COUNT(BG4:BG142))</f>
        <v/>
      </c>
      <c r="BE142" s="7" t="e">
        <f t="shared" si="125"/>
        <v>#VALUE!</v>
      </c>
      <c r="BF142" s="1" t="str">
        <f>IF(ISERROR(INDEX(C4:C8,MATCH(J142,D4:D8,0))),"",INDEX(C4:C8,MATCH(J142,D4:D8,0)))</f>
        <v/>
      </c>
      <c r="BG142" s="79" t="e">
        <f>IF(IF(COUNTIF(BG4:BG141,BG137)&gt;=MAX(D4:D8),BG137+5,BG137)&gt;50,"",IF(COUNTIF(BG4:BG141,BG137)&gt;=MAX(D4:D8),BG137+5,BG137))</f>
        <v>#VALUE!</v>
      </c>
      <c r="BH142" s="76" t="e">
        <f>IF(BG142="","",VLOOKUP(BG142,S4:U53,3,0))</f>
        <v>#VALUE!</v>
      </c>
      <c r="BI142" s="8" t="str">
        <f t="shared" si="126"/>
        <v/>
      </c>
      <c r="BP142" s="71" t="e">
        <f>IF(BT142="","",BT142*10+4)</f>
        <v>#VALUE!</v>
      </c>
      <c r="BQ142" s="71" t="str">
        <f>IF(OR(COUNTBLANK(BT142)=1,ISERROR(BT142)),"",COUNT(BT4:BT142))</f>
        <v/>
      </c>
      <c r="BR142" s="7" t="e">
        <f t="shared" si="128"/>
        <v>#VALUE!</v>
      </c>
      <c r="BS142" s="1" t="str">
        <f t="shared" si="129"/>
        <v/>
      </c>
      <c r="BT142" s="79" t="e">
        <f>IF(IF(COUNTIF($BT$4:BT141,BT141)&gt;=MAX($D$4:$D$8),BT141+1,BT141)&gt;55,"",IF(COUNTIF($BT$4:BT141,BT141)&gt;=MAX($D$4:$D$8),BT141+1,BT141))</f>
        <v>#VALUE!</v>
      </c>
      <c r="BU142" s="1" t="e">
        <f t="shared" si="130"/>
        <v>#VALUE!</v>
      </c>
      <c r="BV142" s="8" t="str">
        <f t="shared" si="131"/>
        <v/>
      </c>
      <c r="BX142" s="71" t="e">
        <f t="shared" si="132"/>
        <v>#VALUE!</v>
      </c>
      <c r="BY142" s="71" t="str">
        <f>IF(OR(COUNTBLANK(CB142)=1,ISERROR(CB142)),"",COUNT($CB$4:CB142))</f>
        <v/>
      </c>
      <c r="BZ142" s="7" t="e">
        <f t="shared" si="133"/>
        <v>#VALUE!</v>
      </c>
      <c r="CA142" s="1" t="str">
        <f t="shared" si="134"/>
        <v/>
      </c>
      <c r="CB142" s="79" t="e">
        <f>IF(IF(COUNTIF($CB$4:CB141,CB140)&gt;=MAX($D$4:$D$8),CB140+2,CB140)&gt;55,"",IF(COUNTIF($CB$4:CB141,CB140)&gt;=MAX($D$4:$D$8),CB140+2,CB140))</f>
        <v>#VALUE!</v>
      </c>
      <c r="CC142" s="1" t="e">
        <f t="shared" si="135"/>
        <v>#VALUE!</v>
      </c>
      <c r="CD142" s="8" t="str">
        <f t="shared" si="136"/>
        <v/>
      </c>
      <c r="CF142" s="71" t="e">
        <f t="shared" si="105"/>
        <v>#VALUE!</v>
      </c>
      <c r="CG142" s="71" t="str">
        <f>IF(OR(COUNTBLANK(CJ142)=1,ISERROR(CJ142)),"",COUNT($CJ$4:CJ142))</f>
        <v/>
      </c>
      <c r="CH142" s="7" t="e">
        <f t="shared" si="106"/>
        <v>#VALUE!</v>
      </c>
      <c r="CI142" s="1" t="str">
        <f t="shared" si="107"/>
        <v/>
      </c>
      <c r="CJ142" s="79" t="e">
        <f>IF(IF(COUNTIF($CJ$4:CJ141,CJ139)&gt;=MAX($D$4:$D$8),CJ139+3,CJ139)&gt;55,"",IF(COUNTIF($CJ$4:CJ141,CJ139)&gt;=MAX($D$4:$D$8),CJ139+3,CJ139))</f>
        <v>#VALUE!</v>
      </c>
      <c r="CK142" s="1" t="e">
        <f t="shared" si="137"/>
        <v>#VALUE!</v>
      </c>
      <c r="CL142" s="8" t="str">
        <f t="shared" si="108"/>
        <v/>
      </c>
      <c r="CN142" s="71" t="e">
        <f t="shared" si="143"/>
        <v>#VALUE!</v>
      </c>
      <c r="CO142" s="71" t="str">
        <f>IF(OR(COUNTBLANK(CR142)=1,ISERROR(CR142)),"",COUNT($CR$4:CR142))</f>
        <v/>
      </c>
      <c r="CP142" s="7" t="e">
        <f t="shared" si="144"/>
        <v>#VALUE!</v>
      </c>
      <c r="CQ142" s="1" t="str">
        <f t="shared" si="145"/>
        <v/>
      </c>
      <c r="CR142" s="79" t="e">
        <f>IF(IF(COUNTIF($CR$4:CR141,CR138)&gt;=MAX($D$4:$D$8),CR138+4,CR138)&gt;55,"",IF(COUNTIF($CR$4:CR141,CR138)&gt;=MAX($D$4:$D$8),CR138+4,CR138))</f>
        <v>#VALUE!</v>
      </c>
      <c r="CS142" s="1" t="e">
        <f t="shared" si="138"/>
        <v>#VALUE!</v>
      </c>
      <c r="CT142" s="8" t="str">
        <f t="shared" si="146"/>
        <v/>
      </c>
      <c r="CV142" s="71" t="e">
        <f t="shared" si="109"/>
        <v>#VALUE!</v>
      </c>
      <c r="CW142" s="71" t="str">
        <f>IF(OR(COUNTBLANK(CZ142)=1,ISERROR(CZ142)),"",COUNT($CZ$4:CZ142))</f>
        <v/>
      </c>
      <c r="CX142" s="7" t="e">
        <f t="shared" si="110"/>
        <v>#VALUE!</v>
      </c>
      <c r="CY142" s="1" t="str">
        <f t="shared" si="111"/>
        <v/>
      </c>
      <c r="CZ142" s="79" t="e">
        <f>IF(IF(COUNTIF($CZ$4:CZ141,CZ137)&gt;=MAX($D$4:$D$8),CZ137+5,CZ137)&gt;55,"",IF(COUNTIF($CZ$4:CZ141,CZ137)&gt;=MAX($D$4:$D$8),CZ137+5,CZ137))</f>
        <v>#VALUE!</v>
      </c>
      <c r="DA142" s="1" t="e">
        <f t="shared" si="139"/>
        <v>#VALUE!</v>
      </c>
      <c r="DB142" s="8" t="str">
        <f t="shared" si="112"/>
        <v/>
      </c>
    </row>
    <row r="143" spans="5:106" x14ac:dyDescent="0.15">
      <c r="E143" s="1">
        <v>140</v>
      </c>
      <c r="F143" s="1">
        <f t="shared" si="140"/>
        <v>1</v>
      </c>
      <c r="G143" s="1">
        <f t="shared" si="147"/>
        <v>1</v>
      </c>
      <c r="H143" s="1">
        <f t="shared" si="141"/>
        <v>1</v>
      </c>
      <c r="I143" s="1">
        <f t="shared" si="142"/>
        <v>1</v>
      </c>
      <c r="J143" s="1">
        <f t="shared" si="148"/>
        <v>1</v>
      </c>
      <c r="L143" s="1" t="str">
        <f>IF(ISERROR(HLOOKUP($C$10,$F$3:$J$253,141,0)),"",HLOOKUP($C$10,$F$3:$J$253,141,0))</f>
        <v/>
      </c>
      <c r="N143" s="67"/>
      <c r="W143" s="71" t="e">
        <f>IF(AA143="","",AA143*10+5)</f>
        <v>#VALUE!</v>
      </c>
      <c r="X143" s="71" t="str">
        <f>IF(OR(COUNTBLANK(AA143)=1,ISERROR(AA143)),"",COUNT(AA4:AA143))</f>
        <v/>
      </c>
      <c r="Y143" s="7" t="e">
        <f t="shared" si="113"/>
        <v>#VALUE!</v>
      </c>
      <c r="Z143" s="1" t="str">
        <f t="shared" si="127"/>
        <v/>
      </c>
      <c r="AA143" s="79" t="e">
        <f>IF(IF(COUNTIF(AA4:AA142,AA142)&gt;=MAX(D4:D8),AA142+1,AA142)&gt;50,"",IF(COUNTIF(AA4:AA142,AA142)&gt;=MAX(D4:D8),AA142+1,AA142))</f>
        <v>#VALUE!</v>
      </c>
      <c r="AB143" s="1" t="e">
        <f>IF(AA143="","",VLOOKUP(AA143,S4:U53,3,0))</f>
        <v>#VALUE!</v>
      </c>
      <c r="AC143" s="8" t="str">
        <f t="shared" si="114"/>
        <v/>
      </c>
      <c r="AE143" s="71" t="e">
        <f t="shared" si="115"/>
        <v>#VALUE!</v>
      </c>
      <c r="AF143" s="71" t="str">
        <f>IF(OR(COUNTBLANK(AI143)=1,ISERROR(AI143)),"",COUNT(AI4:AI143))</f>
        <v/>
      </c>
      <c r="AG143" s="7" t="e">
        <f t="shared" si="116"/>
        <v>#VALUE!</v>
      </c>
      <c r="AH143" s="1" t="str">
        <f>IF(ISERROR(INDEX(C4:C8,MATCH(G143,D4:D8,0))),"",INDEX(C4:C8,MATCH(G143,D4:D8,0)))</f>
        <v/>
      </c>
      <c r="AI143" s="79" t="e">
        <f>IF(IF(COUNTIF(AI4:AI141,AI141)&gt;=MAX(D4:D8),AI141+2,AI141)&gt;50,"",IF(COUNTIF(AI4:AI141,AI141)&gt;=MAX(D4:D8),AI141+2,AI141))</f>
        <v>#VALUE!</v>
      </c>
      <c r="AJ143" s="1" t="e">
        <f>IF(AI143="","",VLOOKUP(AI143,S4:U53,3,0))</f>
        <v>#VALUE!</v>
      </c>
      <c r="AK143" s="8" t="str">
        <f t="shared" si="117"/>
        <v/>
      </c>
      <c r="AM143" s="71" t="e">
        <f t="shared" si="118"/>
        <v>#VALUE!</v>
      </c>
      <c r="AN143" s="71" t="str">
        <f>IF(OR(COUNTBLANK(AQ143)=1,ISERROR(AQ143)),"",COUNT(AQ4:AQ143))</f>
        <v/>
      </c>
      <c r="AO143" s="7" t="e">
        <f t="shared" si="119"/>
        <v>#VALUE!</v>
      </c>
      <c r="AP143" s="1" t="str">
        <f>IF(ISERROR(INDEX(C4:C8,MATCH(H143,D4:D8,0))),"",INDEX(C4:C8,MATCH(H143,D4:D8,0)))</f>
        <v/>
      </c>
      <c r="AQ143" s="79" t="e">
        <f>IF(IF(COUNTIF(AQ4:AQ142,AQ140)&gt;=MAX(D4:D8),AQ140+3,AQ140)&gt;50,"",IF(COUNTIF(AQ4:AQ142,AQ140)&gt;=MAX(D4:D8),AQ140+3,AQ140))</f>
        <v>#VALUE!</v>
      </c>
      <c r="AR143" s="1" t="e">
        <f>IF(AQ143="","",VLOOKUP(AQ143,S4:U53,3,0))</f>
        <v>#VALUE!</v>
      </c>
      <c r="AS143" s="8" t="str">
        <f t="shared" si="120"/>
        <v/>
      </c>
      <c r="AU143" s="71" t="e">
        <f t="shared" si="121"/>
        <v>#VALUE!</v>
      </c>
      <c r="AV143" s="71" t="str">
        <f>IF(OR(COUNTBLANK(AY143)=1,ISERROR(AY143)),"",COUNT(AY4:AY143))</f>
        <v/>
      </c>
      <c r="AW143" s="7" t="e">
        <f t="shared" si="122"/>
        <v>#VALUE!</v>
      </c>
      <c r="AX143" s="1" t="str">
        <f>IF(ISERROR(INDEX(C4:C8,MATCH(I143,D4:D8,0))),"",INDEX(C4:C8,MATCH(I143,D4:D8,0)))</f>
        <v/>
      </c>
      <c r="AY143" s="79" t="e">
        <f>IF(IF(COUNTIF(AY4:AY142,AY139)&gt;=MAX(D4:D8),AY139+4,AY139)&gt;50,"",IF(COUNTIF(AY4:AY142,AY139)&gt;=MAX(D4:D8),AY139+4,AY139))</f>
        <v>#VALUE!</v>
      </c>
      <c r="AZ143" s="76" t="e">
        <f>IF(AY143="","",VLOOKUP(AY143,S4:U53,3,0))</f>
        <v>#VALUE!</v>
      </c>
      <c r="BA143" s="8" t="str">
        <f t="shared" si="123"/>
        <v/>
      </c>
      <c r="BC143" s="71" t="e">
        <f t="shared" si="124"/>
        <v>#VALUE!</v>
      </c>
      <c r="BD143" s="71" t="str">
        <f>IF(OR(COUNTBLANK(BG143)=1,ISERROR(BG143)),"",COUNT(BG4:BG143))</f>
        <v/>
      </c>
      <c r="BE143" s="7" t="e">
        <f t="shared" si="125"/>
        <v>#VALUE!</v>
      </c>
      <c r="BF143" s="1" t="str">
        <f>IF(ISERROR(INDEX(C4:C8,MATCH(J143,D4:D8,0))),"",INDEX(C4:C8,MATCH(J143,D4:D8,0)))</f>
        <v/>
      </c>
      <c r="BG143" s="79" t="e">
        <f>IF(IF(COUNTIF(BG4:BG142,BG138)&gt;=MAX(D4:D8),BG138+5,BG138)&gt;50,"",IF(COUNTIF(BG4:BG142,BG138)&gt;=MAX(D4:D8),BG138+5,BG138))</f>
        <v>#VALUE!</v>
      </c>
      <c r="BH143" s="76" t="e">
        <f>IF(BG143="","",VLOOKUP(BG143,S4:U53,3,0))</f>
        <v>#VALUE!</v>
      </c>
      <c r="BI143" s="8" t="str">
        <f t="shared" si="126"/>
        <v/>
      </c>
      <c r="BP143" s="71" t="e">
        <f>IF(BT143="","",BT143*10+5)</f>
        <v>#VALUE!</v>
      </c>
      <c r="BQ143" s="71" t="str">
        <f>IF(OR(COUNTBLANK(BT143)=1,ISERROR(BT143)),"",COUNT(BT4:BT143))</f>
        <v/>
      </c>
      <c r="BR143" s="7" t="e">
        <f t="shared" si="128"/>
        <v>#VALUE!</v>
      </c>
      <c r="BS143" s="1" t="str">
        <f t="shared" si="129"/>
        <v/>
      </c>
      <c r="BT143" s="79" t="e">
        <f>IF(IF(COUNTIF($BT$4:BT142,BT142)&gt;=MAX($D$4:$D$8),BT142+1,BT142)&gt;55,"",IF(COUNTIF($BT$4:BT142,BT142)&gt;=MAX($D$4:$D$8),BT142+1,BT142))</f>
        <v>#VALUE!</v>
      </c>
      <c r="BU143" s="1" t="e">
        <f t="shared" si="130"/>
        <v>#VALUE!</v>
      </c>
      <c r="BV143" s="8" t="str">
        <f t="shared" si="131"/>
        <v/>
      </c>
      <c r="BX143" s="71" t="e">
        <f t="shared" si="132"/>
        <v>#VALUE!</v>
      </c>
      <c r="BY143" s="71" t="str">
        <f>IF(OR(COUNTBLANK(CB143)=1,ISERROR(CB143)),"",COUNT($CB$4:CB143))</f>
        <v/>
      </c>
      <c r="BZ143" s="7" t="e">
        <f t="shared" si="133"/>
        <v>#VALUE!</v>
      </c>
      <c r="CA143" s="1" t="str">
        <f t="shared" si="134"/>
        <v/>
      </c>
      <c r="CB143" s="79" t="e">
        <f>IF(IF(COUNTIF($CB$4:CB142,CB141)&gt;=MAX($D$4:$D$8),CB141+2,CB141)&gt;55,"",IF(COUNTIF($CB$4:CB142,CB141)&gt;=MAX($D$4:$D$8),CB141+2,CB141))</f>
        <v>#VALUE!</v>
      </c>
      <c r="CC143" s="1" t="e">
        <f t="shared" si="135"/>
        <v>#VALUE!</v>
      </c>
      <c r="CD143" s="8" t="str">
        <f t="shared" si="136"/>
        <v/>
      </c>
      <c r="CF143" s="71" t="e">
        <f t="shared" si="105"/>
        <v>#VALUE!</v>
      </c>
      <c r="CG143" s="71" t="str">
        <f>IF(OR(COUNTBLANK(CJ143)=1,ISERROR(CJ143)),"",COUNT($CJ$4:CJ143))</f>
        <v/>
      </c>
      <c r="CH143" s="7" t="e">
        <f t="shared" si="106"/>
        <v>#VALUE!</v>
      </c>
      <c r="CI143" s="1" t="str">
        <f t="shared" si="107"/>
        <v/>
      </c>
      <c r="CJ143" s="79" t="e">
        <f>IF(IF(COUNTIF($CJ$4:CJ142,CJ140)&gt;=MAX($D$4:$D$8),CJ140+3,CJ140)&gt;55,"",IF(COUNTIF($CJ$4:CJ142,CJ140)&gt;=MAX($D$4:$D$8),CJ140+3,CJ140))</f>
        <v>#VALUE!</v>
      </c>
      <c r="CK143" s="1" t="e">
        <f t="shared" si="137"/>
        <v>#VALUE!</v>
      </c>
      <c r="CL143" s="8" t="str">
        <f t="shared" si="108"/>
        <v/>
      </c>
      <c r="CN143" s="71" t="e">
        <f t="shared" si="143"/>
        <v>#VALUE!</v>
      </c>
      <c r="CO143" s="71" t="str">
        <f>IF(OR(COUNTBLANK(CR143)=1,ISERROR(CR143)),"",COUNT($CR$4:CR143))</f>
        <v/>
      </c>
      <c r="CP143" s="7" t="e">
        <f t="shared" si="144"/>
        <v>#VALUE!</v>
      </c>
      <c r="CQ143" s="1" t="str">
        <f t="shared" si="145"/>
        <v/>
      </c>
      <c r="CR143" s="79" t="e">
        <f>IF(IF(COUNTIF($CR$4:CR142,CR139)&gt;=MAX($D$4:$D$8),CR139+4,CR139)&gt;55,"",IF(COUNTIF($CR$4:CR142,CR139)&gt;=MAX($D$4:$D$8),CR139+4,CR139))</f>
        <v>#VALUE!</v>
      </c>
      <c r="CS143" s="1" t="e">
        <f t="shared" si="138"/>
        <v>#VALUE!</v>
      </c>
      <c r="CT143" s="8" t="str">
        <f t="shared" si="146"/>
        <v/>
      </c>
      <c r="CV143" s="71" t="e">
        <f t="shared" si="109"/>
        <v>#VALUE!</v>
      </c>
      <c r="CW143" s="71" t="str">
        <f>IF(OR(COUNTBLANK(CZ143)=1,ISERROR(CZ143)),"",COUNT($CZ$4:CZ143))</f>
        <v/>
      </c>
      <c r="CX143" s="7" t="e">
        <f t="shared" si="110"/>
        <v>#VALUE!</v>
      </c>
      <c r="CY143" s="1" t="str">
        <f t="shared" si="111"/>
        <v/>
      </c>
      <c r="CZ143" s="79" t="e">
        <f>IF(IF(COUNTIF($CZ$4:CZ142,CZ138)&gt;=MAX($D$4:$D$8),CZ138+5,CZ138)&gt;55,"",IF(COUNTIF($CZ$4:CZ142,CZ138)&gt;=MAX($D$4:$D$8),CZ138+5,CZ138))</f>
        <v>#VALUE!</v>
      </c>
      <c r="DA143" s="1" t="e">
        <f t="shared" si="139"/>
        <v>#VALUE!</v>
      </c>
      <c r="DB143" s="8" t="str">
        <f t="shared" si="112"/>
        <v/>
      </c>
    </row>
    <row r="144" spans="5:106" x14ac:dyDescent="0.15">
      <c r="E144" s="1">
        <v>141</v>
      </c>
      <c r="F144" s="1">
        <f t="shared" si="140"/>
        <v>1</v>
      </c>
      <c r="G144" s="1">
        <f t="shared" si="147"/>
        <v>1</v>
      </c>
      <c r="H144" s="1">
        <f t="shared" si="141"/>
        <v>1</v>
      </c>
      <c r="I144" s="1">
        <f t="shared" si="142"/>
        <v>1</v>
      </c>
      <c r="J144" s="1">
        <f t="shared" si="148"/>
        <v>1</v>
      </c>
      <c r="L144" s="1" t="str">
        <f>IF(ISERROR(HLOOKUP($C$10,$F$3:$J$253,142,0)),"",HLOOKUP($C$10,$F$3:$J$253,142,0))</f>
        <v/>
      </c>
      <c r="N144" s="67"/>
      <c r="W144" s="71" t="e">
        <f>IF(AA144="","",AA144*10+1)</f>
        <v>#VALUE!</v>
      </c>
      <c r="X144" s="71" t="str">
        <f>IF(OR(COUNTBLANK(AA144)=1,ISERROR(AA144)),"",COUNT(AA4:AA144))</f>
        <v/>
      </c>
      <c r="Y144" s="7" t="e">
        <f t="shared" si="113"/>
        <v>#VALUE!</v>
      </c>
      <c r="Z144" s="1" t="str">
        <f t="shared" si="127"/>
        <v/>
      </c>
      <c r="AA144" s="79" t="e">
        <f>IF(IF(COUNTIF(AA4:AA143,AA143)&gt;=MAX(D4:D8),AA143+1,AA143)&gt;50,"",IF(COUNTIF(AA4:AA143,AA143)&gt;=MAX(D4:D8),AA143+1,AA143))</f>
        <v>#VALUE!</v>
      </c>
      <c r="AB144" s="1" t="e">
        <f>IF(AA144="","",VLOOKUP(AA144,S4:U53,3,0))</f>
        <v>#VALUE!</v>
      </c>
      <c r="AC144" s="8" t="str">
        <f t="shared" si="114"/>
        <v/>
      </c>
      <c r="AE144" s="71" t="e">
        <f t="shared" si="115"/>
        <v>#VALUE!</v>
      </c>
      <c r="AF144" s="71" t="str">
        <f>IF(OR(COUNTBLANK(AI144)=1,ISERROR(AI144)),"",COUNT(AI4:AI144))</f>
        <v/>
      </c>
      <c r="AG144" s="7" t="e">
        <f t="shared" si="116"/>
        <v>#VALUE!</v>
      </c>
      <c r="AH144" s="1" t="str">
        <f>IF(ISERROR(INDEX(C4:C8,MATCH(G144,D4:D8,0))),"",INDEX(C4:C8,MATCH(G144,D4:D8,0)))</f>
        <v/>
      </c>
      <c r="AI144" s="79" t="e">
        <f>IF(IF(COUNTIF(AI4:AI143,AI142)&gt;=MAX(D4:D8),AI142+2,AI142)&gt;50,"",IF(COUNTIF(AI4:AI143,AI142)&gt;=MAX(D4:D8),AI142+2,AI142))</f>
        <v>#VALUE!</v>
      </c>
      <c r="AJ144" s="1" t="e">
        <f>IF(AI144="","",VLOOKUP(AI144,S4:U53,3,0))</f>
        <v>#VALUE!</v>
      </c>
      <c r="AK144" s="8" t="str">
        <f t="shared" si="117"/>
        <v/>
      </c>
      <c r="AM144" s="71" t="e">
        <f t="shared" si="118"/>
        <v>#VALUE!</v>
      </c>
      <c r="AN144" s="71" t="str">
        <f>IF(OR(COUNTBLANK(AQ144)=1,ISERROR(AQ144)),"",COUNT(AQ4:AQ144))</f>
        <v/>
      </c>
      <c r="AO144" s="7" t="e">
        <f t="shared" si="119"/>
        <v>#VALUE!</v>
      </c>
      <c r="AP144" s="1" t="str">
        <f>IF(ISERROR(INDEX(C4:C8,MATCH(H144,D4:D8,0))),"",INDEX(C4:C8,MATCH(H144,D4:D8,0)))</f>
        <v/>
      </c>
      <c r="AQ144" s="79" t="e">
        <f>IF(IF(COUNTIF(AQ4:AQ143,AQ141)&gt;=MAX(D4:D8),AQ141+3,AQ141)&gt;50,"",IF(COUNTIF(AQ4:AQ143,AQ141)&gt;=MAX(D4:D8),AQ141+3,AQ141))</f>
        <v>#VALUE!</v>
      </c>
      <c r="AR144" s="1" t="e">
        <f>IF(AQ144="","",VLOOKUP(AQ144,S4:U53,3,0))</f>
        <v>#VALUE!</v>
      </c>
      <c r="AS144" s="8" t="str">
        <f t="shared" si="120"/>
        <v/>
      </c>
      <c r="AU144" s="71" t="e">
        <f t="shared" si="121"/>
        <v>#VALUE!</v>
      </c>
      <c r="AV144" s="71" t="str">
        <f>IF(OR(COUNTBLANK(AY144)=1,ISERROR(AY144)),"",COUNT(AY4:AY144))</f>
        <v/>
      </c>
      <c r="AW144" s="7" t="e">
        <f t="shared" si="122"/>
        <v>#VALUE!</v>
      </c>
      <c r="AX144" s="1" t="str">
        <f>IF(ISERROR(INDEX(C4:C8,MATCH(I144,D4:D8,0))),"",INDEX(C4:C8,MATCH(I144,D4:D8,0)))</f>
        <v/>
      </c>
      <c r="AY144" s="79" t="e">
        <f>IF(IF(COUNTIF(AY4:AY143,AY140)&gt;=MAX(D4:D8),AY140+4,AY140)&gt;50,"",IF(COUNTIF(AY4:AY143,AY140)&gt;=MAX(D4:D8),AY140+4,AY140))</f>
        <v>#VALUE!</v>
      </c>
      <c r="AZ144" s="76" t="e">
        <f>IF(AY144="","",VLOOKUP(AY144,S4:U53,3,0))</f>
        <v>#VALUE!</v>
      </c>
      <c r="BA144" s="8" t="str">
        <f t="shared" si="123"/>
        <v/>
      </c>
      <c r="BC144" s="71" t="e">
        <f t="shared" si="124"/>
        <v>#VALUE!</v>
      </c>
      <c r="BD144" s="71" t="str">
        <f>IF(OR(COUNTBLANK(BG144)=1,ISERROR(BG144)),"",COUNT(BG4:BG144))</f>
        <v/>
      </c>
      <c r="BE144" s="7" t="e">
        <f t="shared" si="125"/>
        <v>#VALUE!</v>
      </c>
      <c r="BF144" s="1" t="str">
        <f>IF(ISERROR(INDEX(C4:C8,MATCH(J144,D4:D8,0))),"",INDEX(C4:C8,MATCH(J144,D4:D8,0)))</f>
        <v/>
      </c>
      <c r="BG144" s="79" t="e">
        <f>IF(IF(COUNTIF(BG4:BG143,BG139)&gt;=MAX(D4:D8),BG139+5,BG139)&gt;50,"",IF(COUNTIF(BG4:BG143,BG139)&gt;=MAX(D4:D8),BG139+5,BG139))</f>
        <v>#VALUE!</v>
      </c>
      <c r="BH144" s="76" t="e">
        <f>IF(BG144="","",VLOOKUP(BG144,S4:U53,3,0))</f>
        <v>#VALUE!</v>
      </c>
      <c r="BI144" s="8" t="str">
        <f t="shared" si="126"/>
        <v/>
      </c>
      <c r="BP144" s="71" t="e">
        <f>IF(BT144="","",BT144*10+1)</f>
        <v>#VALUE!</v>
      </c>
      <c r="BQ144" s="71" t="str">
        <f>IF(OR(COUNTBLANK(BT144)=1,ISERROR(BT144)),"",COUNT(BT4:BT144))</f>
        <v/>
      </c>
      <c r="BR144" s="7" t="e">
        <f t="shared" si="128"/>
        <v>#VALUE!</v>
      </c>
      <c r="BS144" s="1" t="str">
        <f t="shared" si="129"/>
        <v/>
      </c>
      <c r="BT144" s="79" t="e">
        <f>IF(IF(COUNTIF($BT$4:BT143,BT143)&gt;=MAX($D$4:$D$8),BT143+1,BT143)&gt;55,"",IF(COUNTIF($BT$4:BT143,BT143)&gt;=MAX($D$4:$D$8),BT143+1,BT143))</f>
        <v>#VALUE!</v>
      </c>
      <c r="BU144" s="1" t="e">
        <f t="shared" si="130"/>
        <v>#VALUE!</v>
      </c>
      <c r="BV144" s="8" t="str">
        <f t="shared" si="131"/>
        <v/>
      </c>
      <c r="BX144" s="71" t="e">
        <f t="shared" si="132"/>
        <v>#VALUE!</v>
      </c>
      <c r="BY144" s="71" t="str">
        <f>IF(OR(COUNTBLANK(CB144)=1,ISERROR(CB144)),"",COUNT($CB$4:CB144))</f>
        <v/>
      </c>
      <c r="BZ144" s="7" t="e">
        <f t="shared" si="133"/>
        <v>#VALUE!</v>
      </c>
      <c r="CA144" s="1" t="str">
        <f t="shared" si="134"/>
        <v/>
      </c>
      <c r="CB144" s="79" t="e">
        <f>IF(IF(COUNTIF($CB$4:CB143,CB142)&gt;=MAX($D$4:$D$8),CB142+2,CB142)&gt;55,"",IF(COUNTIF($CB$4:CB143,CB142)&gt;=MAX($D$4:$D$8),CB142+2,CB142))</f>
        <v>#VALUE!</v>
      </c>
      <c r="CC144" s="1" t="e">
        <f t="shared" si="135"/>
        <v>#VALUE!</v>
      </c>
      <c r="CD144" s="8" t="str">
        <f t="shared" si="136"/>
        <v/>
      </c>
      <c r="CF144" s="71" t="e">
        <f t="shared" si="105"/>
        <v>#VALUE!</v>
      </c>
      <c r="CG144" s="71" t="str">
        <f>IF(OR(COUNTBLANK(CJ144)=1,ISERROR(CJ144)),"",COUNT($CJ$4:CJ144))</f>
        <v/>
      </c>
      <c r="CH144" s="7" t="e">
        <f t="shared" si="106"/>
        <v>#VALUE!</v>
      </c>
      <c r="CI144" s="1" t="str">
        <f t="shared" si="107"/>
        <v/>
      </c>
      <c r="CJ144" s="79" t="e">
        <f>IF(IF(COUNTIF($CJ$4:CJ143,CJ141)&gt;=MAX($D$4:$D$8),CJ141+3,CJ141)&gt;55,"",IF(COUNTIF($CJ$4:CJ143,CJ141)&gt;=MAX($D$4:$D$8),CJ141+3,CJ141))</f>
        <v>#VALUE!</v>
      </c>
      <c r="CK144" s="1" t="e">
        <f t="shared" si="137"/>
        <v>#VALUE!</v>
      </c>
      <c r="CL144" s="8" t="str">
        <f t="shared" si="108"/>
        <v/>
      </c>
      <c r="CN144" s="71" t="e">
        <f t="shared" si="143"/>
        <v>#VALUE!</v>
      </c>
      <c r="CO144" s="71" t="str">
        <f>IF(OR(COUNTBLANK(CR144)=1,ISERROR(CR144)),"",COUNT($CR$4:CR144))</f>
        <v/>
      </c>
      <c r="CP144" s="7" t="e">
        <f t="shared" si="144"/>
        <v>#VALUE!</v>
      </c>
      <c r="CQ144" s="1" t="str">
        <f t="shared" si="145"/>
        <v/>
      </c>
      <c r="CR144" s="79" t="e">
        <f>IF(IF(COUNTIF($CR$4:CR143,CR140)&gt;=MAX($D$4:$D$8),CR140+4,CR140)&gt;55,"",IF(COUNTIF($CR$4:CR143,CR140)&gt;=MAX($D$4:$D$8),CR140+4,CR140))</f>
        <v>#VALUE!</v>
      </c>
      <c r="CS144" s="1" t="e">
        <f t="shared" si="138"/>
        <v>#VALUE!</v>
      </c>
      <c r="CT144" s="8" t="str">
        <f t="shared" si="146"/>
        <v/>
      </c>
      <c r="CV144" s="71" t="e">
        <f t="shared" si="109"/>
        <v>#VALUE!</v>
      </c>
      <c r="CW144" s="71" t="str">
        <f>IF(OR(COUNTBLANK(CZ144)=1,ISERROR(CZ144)),"",COUNT($CZ$4:CZ144))</f>
        <v/>
      </c>
      <c r="CX144" s="7" t="e">
        <f t="shared" si="110"/>
        <v>#VALUE!</v>
      </c>
      <c r="CY144" s="1" t="str">
        <f t="shared" si="111"/>
        <v/>
      </c>
      <c r="CZ144" s="79" t="e">
        <f>IF(IF(COUNTIF($CZ$4:CZ143,CZ139)&gt;=MAX($D$4:$D$8),CZ139+5,CZ139)&gt;55,"",IF(COUNTIF($CZ$4:CZ143,CZ139)&gt;=MAX($D$4:$D$8),CZ139+5,CZ139))</f>
        <v>#VALUE!</v>
      </c>
      <c r="DA144" s="1" t="e">
        <f t="shared" si="139"/>
        <v>#VALUE!</v>
      </c>
      <c r="DB144" s="8" t="str">
        <f t="shared" si="112"/>
        <v/>
      </c>
    </row>
    <row r="145" spans="5:106" x14ac:dyDescent="0.15">
      <c r="E145" s="1">
        <v>142</v>
      </c>
      <c r="F145" s="1">
        <f t="shared" si="140"/>
        <v>1</v>
      </c>
      <c r="G145" s="1">
        <f t="shared" si="147"/>
        <v>1</v>
      </c>
      <c r="H145" s="1">
        <f t="shared" si="141"/>
        <v>1</v>
      </c>
      <c r="I145" s="1">
        <f t="shared" si="142"/>
        <v>1</v>
      </c>
      <c r="J145" s="1">
        <f t="shared" si="148"/>
        <v>1</v>
      </c>
      <c r="L145" s="1" t="str">
        <f>IF(ISERROR(HLOOKUP($C$10,$F$3:$J$253,143,0)),"",HLOOKUP($C$10,$F$3:$J$253,143,0))</f>
        <v/>
      </c>
      <c r="N145" s="67"/>
      <c r="W145" s="71" t="e">
        <f>IF(AA145="","",AA145*10+2)</f>
        <v>#VALUE!</v>
      </c>
      <c r="X145" s="71" t="str">
        <f>IF(OR(COUNTBLANK(AA145)=1,ISERROR(AA145)),"",COUNT(AA4:AA145))</f>
        <v/>
      </c>
      <c r="Y145" s="7" t="e">
        <f t="shared" si="113"/>
        <v>#VALUE!</v>
      </c>
      <c r="Z145" s="1" t="str">
        <f t="shared" si="127"/>
        <v/>
      </c>
      <c r="AA145" s="79" t="e">
        <f>IF(IF(COUNTIF(AA4:AA144,AA144)&gt;=MAX(D4:D8),AA144+1,AA144)&gt;50,"",IF(COUNTIF(AA4:AA144,AA144)&gt;=MAX(D4:D8),AA144+1,AA144))</f>
        <v>#VALUE!</v>
      </c>
      <c r="AB145" s="1" t="e">
        <f>IF(AA145="","",VLOOKUP(AA145,S4:U53,3,0))</f>
        <v>#VALUE!</v>
      </c>
      <c r="AC145" s="8" t="str">
        <f t="shared" si="114"/>
        <v/>
      </c>
      <c r="AE145" s="71" t="e">
        <f t="shared" si="115"/>
        <v>#VALUE!</v>
      </c>
      <c r="AF145" s="71" t="str">
        <f>IF(OR(COUNTBLANK(AI145)=1,ISERROR(AI145)),"",COUNT(AI4:AI145))</f>
        <v/>
      </c>
      <c r="AG145" s="7" t="e">
        <f t="shared" si="116"/>
        <v>#VALUE!</v>
      </c>
      <c r="AH145" s="1" t="str">
        <f>IF(ISERROR(INDEX(C4:C8,MATCH(G145,D4:D8,0))),"",INDEX(C4:C8,MATCH(G145,D4:D8,0)))</f>
        <v/>
      </c>
      <c r="AI145" s="79" t="e">
        <f>IF(IF(COUNTIF(AI4:AI143,AI143)&gt;=MAX(D4:D8),AI143+2,AI143)&gt;50,"",IF(COUNTIF(AI4:AI143,AI143)&gt;=MAX(D4:D8),AI143+2,AI143))</f>
        <v>#VALUE!</v>
      </c>
      <c r="AJ145" s="1" t="e">
        <f>IF(AI145="","",VLOOKUP(AI145,S4:U53,3,0))</f>
        <v>#VALUE!</v>
      </c>
      <c r="AK145" s="8" t="str">
        <f t="shared" si="117"/>
        <v/>
      </c>
      <c r="AM145" s="71" t="e">
        <f t="shared" si="118"/>
        <v>#VALUE!</v>
      </c>
      <c r="AN145" s="71" t="str">
        <f>IF(OR(COUNTBLANK(AQ145)=1,ISERROR(AQ145)),"",COUNT(AQ4:AQ145))</f>
        <v/>
      </c>
      <c r="AO145" s="7" t="e">
        <f t="shared" si="119"/>
        <v>#VALUE!</v>
      </c>
      <c r="AP145" s="1" t="str">
        <f>IF(ISERROR(INDEX(C4:C8,MATCH(H145,D4:D8,0))),"",INDEX(C4:C8,MATCH(H145,D4:D8,0)))</f>
        <v/>
      </c>
      <c r="AQ145" s="79" t="e">
        <f>IF(IF(COUNTIF(AQ4:AQ144,AQ142)&gt;=MAX(D4:D8),AQ142+3,AQ142)&gt;50,"",IF(COUNTIF(AQ4:AQ144,AQ142)&gt;=MAX(D4:D8),AQ142+3,AQ142))</f>
        <v>#VALUE!</v>
      </c>
      <c r="AR145" s="1" t="e">
        <f>IF(AQ145="","",VLOOKUP(AQ145,S4:U53,3,0))</f>
        <v>#VALUE!</v>
      </c>
      <c r="AS145" s="8" t="str">
        <f t="shared" si="120"/>
        <v/>
      </c>
      <c r="AU145" s="71" t="e">
        <f t="shared" si="121"/>
        <v>#VALUE!</v>
      </c>
      <c r="AV145" s="71" t="str">
        <f>IF(OR(COUNTBLANK(AY145)=1,ISERROR(AY145)),"",COUNT(AY4:AY145))</f>
        <v/>
      </c>
      <c r="AW145" s="7" t="e">
        <f t="shared" si="122"/>
        <v>#VALUE!</v>
      </c>
      <c r="AX145" s="1" t="str">
        <f>IF(ISERROR(INDEX(C4:C8,MATCH(I145,D4:D8,0))),"",INDEX(C4:C8,MATCH(I145,D4:D8,0)))</f>
        <v/>
      </c>
      <c r="AY145" s="79" t="e">
        <f>IF(IF(COUNTIF(AY4:AY144,AY141)&gt;=MAX(D4:D8),AY141+4,AY141)&gt;50,"",IF(COUNTIF(AY4:AY144,AY141)&gt;=MAX(D4:D8),AY141+4,AY141))</f>
        <v>#VALUE!</v>
      </c>
      <c r="AZ145" s="76" t="e">
        <f>IF(AY145="","",VLOOKUP(AY145,S4:U53,3,0))</f>
        <v>#VALUE!</v>
      </c>
      <c r="BA145" s="8" t="str">
        <f t="shared" si="123"/>
        <v/>
      </c>
      <c r="BC145" s="71" t="e">
        <f t="shared" si="124"/>
        <v>#VALUE!</v>
      </c>
      <c r="BD145" s="71" t="str">
        <f>IF(OR(COUNTBLANK(BG145)=1,ISERROR(BG145)),"",COUNT(BG4:BG145))</f>
        <v/>
      </c>
      <c r="BE145" s="7" t="e">
        <f t="shared" si="125"/>
        <v>#VALUE!</v>
      </c>
      <c r="BF145" s="1" t="str">
        <f>IF(ISERROR(INDEX(C4:C8,MATCH(J145,D4:D8,0))),"",INDEX(C4:C8,MATCH(J145,D4:D8,0)))</f>
        <v/>
      </c>
      <c r="BG145" s="79" t="e">
        <f>IF(IF(COUNTIF(BG4:BG144,BG140)&gt;=MAX(D4:D8),BG140+5,BG140)&gt;50,"",IF(COUNTIF(BG4:BG144,BG140)&gt;=MAX(D4:D8),BG140+5,BG140))</f>
        <v>#VALUE!</v>
      </c>
      <c r="BH145" s="76" t="e">
        <f>IF(BG145="","",VLOOKUP(BG145,S4:U53,3,0))</f>
        <v>#VALUE!</v>
      </c>
      <c r="BI145" s="8" t="str">
        <f t="shared" si="126"/>
        <v/>
      </c>
      <c r="BP145" s="71" t="e">
        <f>IF(BT145="","",BT145*10+2)</f>
        <v>#VALUE!</v>
      </c>
      <c r="BQ145" s="71" t="str">
        <f>IF(OR(COUNTBLANK(BT145)=1,ISERROR(BT145)),"",COUNT(BT4:BT145))</f>
        <v/>
      </c>
      <c r="BR145" s="7" t="e">
        <f t="shared" si="128"/>
        <v>#VALUE!</v>
      </c>
      <c r="BS145" s="1" t="str">
        <f t="shared" si="129"/>
        <v/>
      </c>
      <c r="BT145" s="79" t="e">
        <f>IF(IF(COUNTIF($BT$4:BT144,BT144)&gt;=MAX($D$4:$D$8),BT144+1,BT144)&gt;55,"",IF(COUNTIF($BT$4:BT144,BT144)&gt;=MAX($D$4:$D$8),BT144+1,BT144))</f>
        <v>#VALUE!</v>
      </c>
      <c r="BU145" s="1" t="e">
        <f t="shared" si="130"/>
        <v>#VALUE!</v>
      </c>
      <c r="BV145" s="8" t="str">
        <f t="shared" si="131"/>
        <v/>
      </c>
      <c r="BX145" s="71" t="e">
        <f t="shared" si="132"/>
        <v>#VALUE!</v>
      </c>
      <c r="BY145" s="71" t="str">
        <f>IF(OR(COUNTBLANK(CB145)=1,ISERROR(CB145)),"",COUNT($CB$4:CB145))</f>
        <v/>
      </c>
      <c r="BZ145" s="7" t="e">
        <f t="shared" si="133"/>
        <v>#VALUE!</v>
      </c>
      <c r="CA145" s="1" t="str">
        <f t="shared" si="134"/>
        <v/>
      </c>
      <c r="CB145" s="79" t="e">
        <f>IF(IF(COUNTIF($CB$4:CB144,CB143)&gt;=MAX($D$4:$D$8),CB143+2,CB143)&gt;55,"",IF(COUNTIF($CB$4:CB144,CB143)&gt;=MAX($D$4:$D$8),CB143+2,CB143))</f>
        <v>#VALUE!</v>
      </c>
      <c r="CC145" s="1" t="e">
        <f t="shared" si="135"/>
        <v>#VALUE!</v>
      </c>
      <c r="CD145" s="8" t="str">
        <f t="shared" si="136"/>
        <v/>
      </c>
      <c r="CF145" s="71" t="e">
        <f t="shared" si="105"/>
        <v>#VALUE!</v>
      </c>
      <c r="CG145" s="71" t="str">
        <f>IF(OR(COUNTBLANK(CJ145)=1,ISERROR(CJ145)),"",COUNT($CJ$4:CJ145))</f>
        <v/>
      </c>
      <c r="CH145" s="7" t="e">
        <f t="shared" si="106"/>
        <v>#VALUE!</v>
      </c>
      <c r="CI145" s="1" t="str">
        <f t="shared" si="107"/>
        <v/>
      </c>
      <c r="CJ145" s="79" t="e">
        <f>IF(IF(COUNTIF($CJ$4:CJ144,CJ142)&gt;=MAX($D$4:$D$8),CJ142+3,CJ142)&gt;55,"",IF(COUNTIF($CJ$4:CJ144,CJ142)&gt;=MAX($D$4:$D$8),CJ142+3,CJ142))</f>
        <v>#VALUE!</v>
      </c>
      <c r="CK145" s="1" t="e">
        <f t="shared" si="137"/>
        <v>#VALUE!</v>
      </c>
      <c r="CL145" s="8" t="str">
        <f t="shared" si="108"/>
        <v/>
      </c>
      <c r="CN145" s="71" t="e">
        <f t="shared" si="143"/>
        <v>#VALUE!</v>
      </c>
      <c r="CO145" s="71" t="str">
        <f>IF(OR(COUNTBLANK(CR145)=1,ISERROR(CR145)),"",COUNT($CR$4:CR145))</f>
        <v/>
      </c>
      <c r="CP145" s="7" t="e">
        <f t="shared" si="144"/>
        <v>#VALUE!</v>
      </c>
      <c r="CQ145" s="1" t="str">
        <f t="shared" si="145"/>
        <v/>
      </c>
      <c r="CR145" s="79" t="e">
        <f>IF(IF(COUNTIF($CR$4:CR144,CR141)&gt;=MAX($D$4:$D$8),CR141+4,CR141)&gt;55,"",IF(COUNTIF($CR$4:CR144,CR141)&gt;=MAX($D$4:$D$8),CR141+4,CR141))</f>
        <v>#VALUE!</v>
      </c>
      <c r="CS145" s="1" t="e">
        <f t="shared" si="138"/>
        <v>#VALUE!</v>
      </c>
      <c r="CT145" s="8" t="str">
        <f t="shared" si="146"/>
        <v/>
      </c>
      <c r="CV145" s="71" t="e">
        <f t="shared" si="109"/>
        <v>#VALUE!</v>
      </c>
      <c r="CW145" s="71" t="str">
        <f>IF(OR(COUNTBLANK(CZ145)=1,ISERROR(CZ145)),"",COUNT($CZ$4:CZ145))</f>
        <v/>
      </c>
      <c r="CX145" s="7" t="e">
        <f t="shared" si="110"/>
        <v>#VALUE!</v>
      </c>
      <c r="CY145" s="1" t="str">
        <f t="shared" si="111"/>
        <v/>
      </c>
      <c r="CZ145" s="79" t="e">
        <f>IF(IF(COUNTIF($CZ$4:CZ144,CZ140)&gt;=MAX($D$4:$D$8),CZ140+5,CZ140)&gt;55,"",IF(COUNTIF($CZ$4:CZ144,CZ140)&gt;=MAX($D$4:$D$8),CZ140+5,CZ140))</f>
        <v>#VALUE!</v>
      </c>
      <c r="DA145" s="1" t="e">
        <f t="shared" si="139"/>
        <v>#VALUE!</v>
      </c>
      <c r="DB145" s="8" t="str">
        <f t="shared" si="112"/>
        <v/>
      </c>
    </row>
    <row r="146" spans="5:106" x14ac:dyDescent="0.15">
      <c r="E146" s="1">
        <v>143</v>
      </c>
      <c r="F146" s="1">
        <f t="shared" si="140"/>
        <v>1</v>
      </c>
      <c r="G146" s="1">
        <f t="shared" si="147"/>
        <v>1</v>
      </c>
      <c r="H146" s="1">
        <f t="shared" si="141"/>
        <v>1</v>
      </c>
      <c r="I146" s="1">
        <f t="shared" si="142"/>
        <v>1</v>
      </c>
      <c r="J146" s="1">
        <f t="shared" si="148"/>
        <v>1</v>
      </c>
      <c r="L146" s="1" t="str">
        <f>IF(ISERROR(HLOOKUP($C$10,$F$3:$J$253,144,0)),"",HLOOKUP($C$10,$F$3:$J$253,144,0))</f>
        <v/>
      </c>
      <c r="N146" s="67"/>
      <c r="W146" s="71" t="e">
        <f>IF(AA146="","",AA146*10+3)</f>
        <v>#VALUE!</v>
      </c>
      <c r="X146" s="71" t="str">
        <f>IF(OR(COUNTBLANK(AA146)=1,ISERROR(AA146)),"",COUNT(AA4:AA146))</f>
        <v/>
      </c>
      <c r="Y146" s="7" t="e">
        <f t="shared" si="113"/>
        <v>#VALUE!</v>
      </c>
      <c r="Z146" s="1" t="str">
        <f t="shared" si="127"/>
        <v/>
      </c>
      <c r="AA146" s="79" t="e">
        <f>IF(IF(COUNTIF(AA4:AA145,AA145)&gt;=MAX(D4:D8),AA145+1,AA145)&gt;50,"",IF(COUNTIF(AA4:AA145,AA145)&gt;=MAX(D4:D8),AA145+1,AA145))</f>
        <v>#VALUE!</v>
      </c>
      <c r="AB146" s="1" t="e">
        <f>IF(AA146="","",VLOOKUP(AA146,S4:U53,3,0))</f>
        <v>#VALUE!</v>
      </c>
      <c r="AC146" s="8" t="str">
        <f t="shared" si="114"/>
        <v/>
      </c>
      <c r="AE146" s="71" t="e">
        <f t="shared" si="115"/>
        <v>#VALUE!</v>
      </c>
      <c r="AF146" s="71" t="str">
        <f>IF(OR(COUNTBLANK(AI146)=1,ISERROR(AI146)),"",COUNT(AI4:AI146))</f>
        <v/>
      </c>
      <c r="AG146" s="7" t="e">
        <f t="shared" si="116"/>
        <v>#VALUE!</v>
      </c>
      <c r="AH146" s="1" t="str">
        <f>IF(ISERROR(INDEX(C4:C8,MATCH(G146,D4:D8,0))),"",INDEX(C4:C8,MATCH(G146,D4:D8,0)))</f>
        <v/>
      </c>
      <c r="AI146" s="79" t="e">
        <f>IF(IF(COUNTIF(AI4:AI145,AI144)&gt;=MAX(D4:D8),AI144+2,AI144)&gt;50,"",IF(COUNTIF(AI4:AI145,AI144)&gt;=MAX(D4:D8),AI144+2,AI144))</f>
        <v>#VALUE!</v>
      </c>
      <c r="AJ146" s="1" t="e">
        <f>IF(AI146="","",VLOOKUP(AI146,S4:U53,3,0))</f>
        <v>#VALUE!</v>
      </c>
      <c r="AK146" s="8" t="str">
        <f t="shared" si="117"/>
        <v/>
      </c>
      <c r="AM146" s="71" t="e">
        <f t="shared" si="118"/>
        <v>#VALUE!</v>
      </c>
      <c r="AN146" s="71" t="str">
        <f>IF(OR(COUNTBLANK(AQ146)=1,ISERROR(AQ146)),"",COUNT(AQ4:AQ146))</f>
        <v/>
      </c>
      <c r="AO146" s="7" t="e">
        <f t="shared" si="119"/>
        <v>#VALUE!</v>
      </c>
      <c r="AP146" s="1" t="str">
        <f>IF(ISERROR(INDEX(C4:C8,MATCH(H146,D4:D8,0))),"",INDEX(C4:C8,MATCH(H146,D4:D8,0)))</f>
        <v/>
      </c>
      <c r="AQ146" s="79" t="e">
        <f>IF(IF(COUNTIF(AQ4:AQ145,AQ143)&gt;=MAX(D4:D8),AQ143+3,AQ143)&gt;50,"",IF(COUNTIF(AQ4:AQ145,AQ143)&gt;=MAX(D4:D8),AQ143+3,AQ143))</f>
        <v>#VALUE!</v>
      </c>
      <c r="AR146" s="1" t="e">
        <f>IF(AQ146="","",VLOOKUP(AQ146,S4:U53,3,0))</f>
        <v>#VALUE!</v>
      </c>
      <c r="AS146" s="8" t="str">
        <f t="shared" si="120"/>
        <v/>
      </c>
      <c r="AU146" s="71" t="e">
        <f t="shared" si="121"/>
        <v>#VALUE!</v>
      </c>
      <c r="AV146" s="71" t="str">
        <f>IF(OR(COUNTBLANK(AY146)=1,ISERROR(AY146)),"",COUNT(AY4:AY146))</f>
        <v/>
      </c>
      <c r="AW146" s="7" t="e">
        <f t="shared" si="122"/>
        <v>#VALUE!</v>
      </c>
      <c r="AX146" s="1" t="str">
        <f>IF(ISERROR(INDEX(C4:C8,MATCH(I146,D4:D8,0))),"",INDEX(C4:C8,MATCH(I146,D4:D8,0)))</f>
        <v/>
      </c>
      <c r="AY146" s="79" t="e">
        <f>IF(IF(COUNTIF(AY4:AY145,AY142)&gt;=MAX(D4:D8),AY142+4,AY142)&gt;50,"",IF(COUNTIF(AY4:AY145,AY142)&gt;=MAX(D4:D8),AY142+4,AY142))</f>
        <v>#VALUE!</v>
      </c>
      <c r="AZ146" s="76" t="e">
        <f>IF(AY146="","",VLOOKUP(AY146,S4:U53,3,0))</f>
        <v>#VALUE!</v>
      </c>
      <c r="BA146" s="8" t="str">
        <f t="shared" si="123"/>
        <v/>
      </c>
      <c r="BC146" s="71" t="e">
        <f t="shared" si="124"/>
        <v>#VALUE!</v>
      </c>
      <c r="BD146" s="71" t="str">
        <f>IF(OR(COUNTBLANK(BG146)=1,ISERROR(BG146)),"",COUNT(BG4:BG146))</f>
        <v/>
      </c>
      <c r="BE146" s="7" t="e">
        <f t="shared" si="125"/>
        <v>#VALUE!</v>
      </c>
      <c r="BF146" s="1" t="str">
        <f>IF(ISERROR(INDEX(C4:C8,MATCH(J146,D4:D8,0))),"",INDEX(C4:C8,MATCH(J146,D4:D8,0)))</f>
        <v/>
      </c>
      <c r="BG146" s="79" t="e">
        <f>IF(IF(COUNTIF(BG4:BG145,BG141)&gt;=MAX(D4:D8),BG141+5,BG141)&gt;50,"",IF(COUNTIF(BG4:BG145,BG141)&gt;=MAX(D4:D8),BG141+5,BG141))</f>
        <v>#VALUE!</v>
      </c>
      <c r="BH146" s="76" t="e">
        <f>IF(BG146="","",VLOOKUP(BG146,S4:U53,3,0))</f>
        <v>#VALUE!</v>
      </c>
      <c r="BI146" s="8" t="str">
        <f t="shared" si="126"/>
        <v/>
      </c>
      <c r="BP146" s="71" t="e">
        <f>IF(BT146="","",BT146*10+3)</f>
        <v>#VALUE!</v>
      </c>
      <c r="BQ146" s="71" t="str">
        <f>IF(OR(COUNTBLANK(BT146)=1,ISERROR(BT146)),"",COUNT(BT4:BT146))</f>
        <v/>
      </c>
      <c r="BR146" s="7" t="e">
        <f t="shared" si="128"/>
        <v>#VALUE!</v>
      </c>
      <c r="BS146" s="1" t="str">
        <f t="shared" si="129"/>
        <v/>
      </c>
      <c r="BT146" s="79" t="e">
        <f>IF(IF(COUNTIF($BT$4:BT145,BT145)&gt;=MAX($D$4:$D$8),BT145+1,BT145)&gt;55,"",IF(COUNTIF($BT$4:BT145,BT145)&gt;=MAX($D$4:$D$8),BT145+1,BT145))</f>
        <v>#VALUE!</v>
      </c>
      <c r="BU146" s="1" t="e">
        <f t="shared" si="130"/>
        <v>#VALUE!</v>
      </c>
      <c r="BV146" s="8" t="str">
        <f t="shared" si="131"/>
        <v/>
      </c>
      <c r="BX146" s="71" t="e">
        <f t="shared" si="132"/>
        <v>#VALUE!</v>
      </c>
      <c r="BY146" s="71" t="str">
        <f>IF(OR(COUNTBLANK(CB146)=1,ISERROR(CB146)),"",COUNT($CB$4:CB146))</f>
        <v/>
      </c>
      <c r="BZ146" s="7" t="e">
        <f t="shared" si="133"/>
        <v>#VALUE!</v>
      </c>
      <c r="CA146" s="1" t="str">
        <f t="shared" si="134"/>
        <v/>
      </c>
      <c r="CB146" s="79" t="e">
        <f>IF(IF(COUNTIF($CB$4:CB145,CB144)&gt;=MAX($D$4:$D$8),CB144+2,CB144)&gt;55,"",IF(COUNTIF($CB$4:CB145,CB144)&gt;=MAX($D$4:$D$8),CB144+2,CB144))</f>
        <v>#VALUE!</v>
      </c>
      <c r="CC146" s="1" t="e">
        <f t="shared" si="135"/>
        <v>#VALUE!</v>
      </c>
      <c r="CD146" s="8" t="str">
        <f t="shared" si="136"/>
        <v/>
      </c>
      <c r="CF146" s="71" t="e">
        <f t="shared" ref="CF146:CF209" si="149">IF(CJ146="","",CJ146*10+H146)</f>
        <v>#VALUE!</v>
      </c>
      <c r="CG146" s="71" t="str">
        <f>IF(OR(COUNTBLANK(CJ146)=1,ISERROR(CJ146)),"",COUNT($CJ$4:CJ146))</f>
        <v/>
      </c>
      <c r="CH146" s="7" t="e">
        <f t="shared" ref="CH146:CH209" si="150">IF(CJ146&gt;25,"ナビ・","1・2年のWナビ・")</f>
        <v>#VALUE!</v>
      </c>
      <c r="CI146" s="1" t="str">
        <f t="shared" ref="CI146:CI209" si="151">IF(ISERROR(INDEX($C$4:$C$8,MATCH(H146,$D$4:$D$8,0))),"",INDEX($C$4:$C$8,MATCH(H146,$D$4:$D$8,0)))</f>
        <v/>
      </c>
      <c r="CJ146" s="79" t="e">
        <f>IF(IF(COUNTIF($CJ$4:CJ145,CJ143)&gt;=MAX($D$4:$D$8),CJ143+3,CJ143)&gt;55,"",IF(COUNTIF($CJ$4:CJ145,CJ143)&gt;=MAX($D$4:$D$8),CJ143+3,CJ143))</f>
        <v>#VALUE!</v>
      </c>
      <c r="CK146" s="1" t="e">
        <f t="shared" si="137"/>
        <v>#VALUE!</v>
      </c>
      <c r="CL146" s="8" t="str">
        <f t="shared" ref="CL146:CL209" si="152">IF(ISERROR(IF(COUNTIF(CI146:CK146,"")&gt;=1,"",CH146&amp;CI146&amp;"【"&amp;VLOOKUP(CJ146,$BL$4:$BN$58,2,0)&amp;"】"&amp;CK146)),"",IF(COUNTIF(CI146:CK146,"")&gt;=1,"",CH146&amp;CI146&amp;"【"&amp;VLOOKUP(CJ146,$BL$4:$BN$58,2,0)&amp;"】"&amp;CK146))</f>
        <v/>
      </c>
      <c r="CN146" s="71" t="e">
        <f t="shared" si="143"/>
        <v>#VALUE!</v>
      </c>
      <c r="CO146" s="71" t="str">
        <f>IF(OR(COUNTBLANK(CR146)=1,ISERROR(CR146)),"",COUNT($CR$4:CR146))</f>
        <v/>
      </c>
      <c r="CP146" s="7" t="e">
        <f t="shared" si="144"/>
        <v>#VALUE!</v>
      </c>
      <c r="CQ146" s="1" t="str">
        <f t="shared" si="145"/>
        <v/>
      </c>
      <c r="CR146" s="79" t="e">
        <f>IF(IF(COUNTIF($CR$4:CR145,CR142)&gt;=MAX($D$4:$D$8),CR142+4,CR142)&gt;55,"",IF(COUNTIF($CR$4:CR145,CR142)&gt;=MAX($D$4:$D$8),CR142+4,CR142))</f>
        <v>#VALUE!</v>
      </c>
      <c r="CS146" s="1" t="e">
        <f t="shared" si="138"/>
        <v>#VALUE!</v>
      </c>
      <c r="CT146" s="8" t="str">
        <f t="shared" si="146"/>
        <v/>
      </c>
      <c r="CV146" s="71" t="e">
        <f t="shared" si="109"/>
        <v>#VALUE!</v>
      </c>
      <c r="CW146" s="71" t="str">
        <f>IF(OR(COUNTBLANK(CZ146)=1,ISERROR(CZ146)),"",COUNT($CZ$4:CZ146))</f>
        <v/>
      </c>
      <c r="CX146" s="7" t="e">
        <f t="shared" si="110"/>
        <v>#VALUE!</v>
      </c>
      <c r="CY146" s="1" t="str">
        <f t="shared" si="111"/>
        <v/>
      </c>
      <c r="CZ146" s="79" t="e">
        <f>IF(IF(COUNTIF($CZ$4:CZ145,CZ141)&gt;=MAX($D$4:$D$8),CZ141+5,CZ141)&gt;55,"",IF(COUNTIF($CZ$4:CZ145,CZ141)&gt;=MAX($D$4:$D$8),CZ141+5,CZ141))</f>
        <v>#VALUE!</v>
      </c>
      <c r="DA146" s="1" t="e">
        <f t="shared" si="139"/>
        <v>#VALUE!</v>
      </c>
      <c r="DB146" s="8" t="str">
        <f t="shared" si="112"/>
        <v/>
      </c>
    </row>
    <row r="147" spans="5:106" x14ac:dyDescent="0.15">
      <c r="E147" s="1">
        <v>144</v>
      </c>
      <c r="F147" s="1">
        <f t="shared" si="140"/>
        <v>1</v>
      </c>
      <c r="G147" s="1">
        <f t="shared" si="147"/>
        <v>1</v>
      </c>
      <c r="H147" s="1">
        <f t="shared" si="141"/>
        <v>1</v>
      </c>
      <c r="I147" s="1">
        <f t="shared" si="142"/>
        <v>1</v>
      </c>
      <c r="J147" s="1">
        <f t="shared" si="148"/>
        <v>1</v>
      </c>
      <c r="L147" s="1" t="str">
        <f>IF(ISERROR(HLOOKUP($C$10,$F$3:$J$253,145,0)),"",HLOOKUP($C$10,$F$3:$J$253,145,0))</f>
        <v/>
      </c>
      <c r="N147" s="67"/>
      <c r="W147" s="71" t="e">
        <f>IF(AA147="","",AA147*10+4)</f>
        <v>#VALUE!</v>
      </c>
      <c r="X147" s="71" t="str">
        <f>IF(OR(COUNTBLANK(AA147)=1,ISERROR(AA147)),"",COUNT(AA4:AA147))</f>
        <v/>
      </c>
      <c r="Y147" s="7" t="e">
        <f t="shared" si="113"/>
        <v>#VALUE!</v>
      </c>
      <c r="Z147" s="1" t="str">
        <f t="shared" si="127"/>
        <v/>
      </c>
      <c r="AA147" s="79" t="e">
        <f>IF(IF(COUNTIF(AA4:AA146,AA146)&gt;=MAX(D4:D8),AA146+1,AA146)&gt;50,"",IF(COUNTIF(AA4:AA146,AA146)&gt;=MAX(D4:D8),AA146+1,AA146))</f>
        <v>#VALUE!</v>
      </c>
      <c r="AB147" s="1" t="e">
        <f>IF(AA147="","",VLOOKUP(AA147,S4:U53,3,0))</f>
        <v>#VALUE!</v>
      </c>
      <c r="AC147" s="8" t="str">
        <f t="shared" si="114"/>
        <v/>
      </c>
      <c r="AE147" s="71" t="e">
        <f t="shared" si="115"/>
        <v>#VALUE!</v>
      </c>
      <c r="AF147" s="71" t="str">
        <f>IF(OR(COUNTBLANK(AI147)=1,ISERROR(AI147)),"",COUNT(AI4:AI147))</f>
        <v/>
      </c>
      <c r="AG147" s="7" t="e">
        <f t="shared" si="116"/>
        <v>#VALUE!</v>
      </c>
      <c r="AH147" s="1" t="str">
        <f>IF(ISERROR(INDEX(C4:C8,MATCH(G147,D4:D8,0))),"",INDEX(C4:C8,MATCH(G147,D4:D8,0)))</f>
        <v/>
      </c>
      <c r="AI147" s="79" t="e">
        <f>IF(IF(COUNTIF(AI4:AI145,AI145)&gt;=MAX(D4:D8),AI145+2,AI145)&gt;50,"",IF(COUNTIF(AI4:AI145,AI145)&gt;=MAX(D4:D8),AI145+2,AI145))</f>
        <v>#VALUE!</v>
      </c>
      <c r="AJ147" s="1" t="e">
        <f>IF(AI147="","",VLOOKUP(AI147,S4:U53,3,0))</f>
        <v>#VALUE!</v>
      </c>
      <c r="AK147" s="8" t="str">
        <f t="shared" si="117"/>
        <v/>
      </c>
      <c r="AM147" s="71" t="e">
        <f t="shared" si="118"/>
        <v>#VALUE!</v>
      </c>
      <c r="AN147" s="71" t="str">
        <f>IF(OR(COUNTBLANK(AQ147)=1,ISERROR(AQ147)),"",COUNT(AQ4:AQ147))</f>
        <v/>
      </c>
      <c r="AO147" s="7" t="e">
        <f t="shared" si="119"/>
        <v>#VALUE!</v>
      </c>
      <c r="AP147" s="1" t="str">
        <f>IF(ISERROR(INDEX(C4:C8,MATCH(H147,D4:D8,0))),"",INDEX(C4:C8,MATCH(H147,D4:D8,0)))</f>
        <v/>
      </c>
      <c r="AQ147" s="79" t="e">
        <f>IF(IF(COUNTIF(AQ4:AQ146,AQ144)&gt;=MAX(D4:D8),AQ144+3,AQ144)&gt;50,"",IF(COUNTIF(AQ4:AQ146,AQ144)&gt;=MAX(D4:D8),AQ144+3,AQ144))</f>
        <v>#VALUE!</v>
      </c>
      <c r="AR147" s="1" t="e">
        <f>IF(AQ147="","",VLOOKUP(AQ147,S4:U53,3,0))</f>
        <v>#VALUE!</v>
      </c>
      <c r="AS147" s="8" t="str">
        <f t="shared" si="120"/>
        <v/>
      </c>
      <c r="AU147" s="71" t="e">
        <f t="shared" si="121"/>
        <v>#VALUE!</v>
      </c>
      <c r="AV147" s="71" t="str">
        <f>IF(OR(COUNTBLANK(AY147)=1,ISERROR(AY147)),"",COUNT(AY4:AY147))</f>
        <v/>
      </c>
      <c r="AW147" s="7" t="e">
        <f t="shared" si="122"/>
        <v>#VALUE!</v>
      </c>
      <c r="AX147" s="1" t="str">
        <f>IF(ISERROR(INDEX(C4:C8,MATCH(I147,D4:D8,0))),"",INDEX(C4:C8,MATCH(I147,D4:D8,0)))</f>
        <v/>
      </c>
      <c r="AY147" s="79" t="e">
        <f>IF(IF(COUNTIF(AY4:AY146,AY143)&gt;=MAX(D4:D8),AY143+4,AY143)&gt;50,"",IF(COUNTIF(AY4:AY146,AY143)&gt;=MAX(D4:D8),AY143+4,AY143))</f>
        <v>#VALUE!</v>
      </c>
      <c r="AZ147" s="76" t="e">
        <f>IF(AY147="","",VLOOKUP(AY147,S4:U53,3,0))</f>
        <v>#VALUE!</v>
      </c>
      <c r="BA147" s="8" t="str">
        <f t="shared" si="123"/>
        <v/>
      </c>
      <c r="BC147" s="71" t="e">
        <f t="shared" si="124"/>
        <v>#VALUE!</v>
      </c>
      <c r="BD147" s="71" t="str">
        <f>IF(OR(COUNTBLANK(BG147)=1,ISERROR(BG147)),"",COUNT(BG4:BG147))</f>
        <v/>
      </c>
      <c r="BE147" s="7" t="e">
        <f t="shared" si="125"/>
        <v>#VALUE!</v>
      </c>
      <c r="BF147" s="1" t="str">
        <f>IF(ISERROR(INDEX(C4:C8,MATCH(J147,D4:D8,0))),"",INDEX(C4:C8,MATCH(J147,D4:D8,0)))</f>
        <v/>
      </c>
      <c r="BG147" s="79" t="e">
        <f>IF(IF(COUNTIF(BG4:BG146,BG142)&gt;=MAX(D4:D8),BG142+5,BG142)&gt;50,"",IF(COUNTIF(BG4:BG146,BG142)&gt;=MAX(D4:D8),BG142+5,BG142))</f>
        <v>#VALUE!</v>
      </c>
      <c r="BH147" s="76" t="e">
        <f>IF(BG147="","",VLOOKUP(BG147,S4:U53,3,0))</f>
        <v>#VALUE!</v>
      </c>
      <c r="BI147" s="8" t="str">
        <f t="shared" si="126"/>
        <v/>
      </c>
      <c r="BP147" s="71" t="e">
        <f>IF(BT147="","",BT147*10+4)</f>
        <v>#VALUE!</v>
      </c>
      <c r="BQ147" s="71" t="str">
        <f>IF(OR(COUNTBLANK(BT147)=1,ISERROR(BT147)),"",COUNT(BT4:BT147))</f>
        <v/>
      </c>
      <c r="BR147" s="7" t="e">
        <f t="shared" si="128"/>
        <v>#VALUE!</v>
      </c>
      <c r="BS147" s="1" t="str">
        <f t="shared" si="129"/>
        <v/>
      </c>
      <c r="BT147" s="79" t="e">
        <f>IF(IF(COUNTIF($BT$4:BT146,BT146)&gt;=MAX($D$4:$D$8),BT146+1,BT146)&gt;55,"",IF(COUNTIF($BT$4:BT146,BT146)&gt;=MAX($D$4:$D$8),BT146+1,BT146))</f>
        <v>#VALUE!</v>
      </c>
      <c r="BU147" s="1" t="e">
        <f t="shared" si="130"/>
        <v>#VALUE!</v>
      </c>
      <c r="BV147" s="8" t="str">
        <f t="shared" si="131"/>
        <v/>
      </c>
      <c r="BX147" s="71" t="e">
        <f t="shared" si="132"/>
        <v>#VALUE!</v>
      </c>
      <c r="BY147" s="71" t="str">
        <f>IF(OR(COUNTBLANK(CB147)=1,ISERROR(CB147)),"",COUNT($CB$4:CB147))</f>
        <v/>
      </c>
      <c r="BZ147" s="7" t="e">
        <f t="shared" si="133"/>
        <v>#VALUE!</v>
      </c>
      <c r="CA147" s="1" t="str">
        <f t="shared" si="134"/>
        <v/>
      </c>
      <c r="CB147" s="79" t="e">
        <f>IF(IF(COUNTIF($CB$4:CB146,CB145)&gt;=MAX($D$4:$D$8),CB145+2,CB145)&gt;55,"",IF(COUNTIF($CB$4:CB146,CB145)&gt;=MAX($D$4:$D$8),CB145+2,CB145))</f>
        <v>#VALUE!</v>
      </c>
      <c r="CC147" s="1" t="e">
        <f t="shared" si="135"/>
        <v>#VALUE!</v>
      </c>
      <c r="CD147" s="8" t="str">
        <f t="shared" si="136"/>
        <v/>
      </c>
      <c r="CF147" s="71" t="e">
        <f t="shared" si="149"/>
        <v>#VALUE!</v>
      </c>
      <c r="CG147" s="71" t="str">
        <f>IF(OR(COUNTBLANK(CJ147)=1,ISERROR(CJ147)),"",COUNT($CJ$4:CJ147))</f>
        <v/>
      </c>
      <c r="CH147" s="7" t="e">
        <f t="shared" si="150"/>
        <v>#VALUE!</v>
      </c>
      <c r="CI147" s="1" t="str">
        <f t="shared" si="151"/>
        <v/>
      </c>
      <c r="CJ147" s="79" t="e">
        <f>IF(IF(COUNTIF($CJ$4:CJ146,CJ144)&gt;=MAX($D$4:$D$8),CJ144+3,CJ144)&gt;55,"",IF(COUNTIF($CJ$4:CJ146,CJ144)&gt;=MAX($D$4:$D$8),CJ144+3,CJ144))</f>
        <v>#VALUE!</v>
      </c>
      <c r="CK147" s="1" t="e">
        <f t="shared" si="137"/>
        <v>#VALUE!</v>
      </c>
      <c r="CL147" s="8" t="str">
        <f t="shared" si="152"/>
        <v/>
      </c>
      <c r="CN147" s="71" t="e">
        <f t="shared" si="143"/>
        <v>#VALUE!</v>
      </c>
      <c r="CO147" s="71" t="str">
        <f>IF(OR(COUNTBLANK(CR147)=1,ISERROR(CR147)),"",COUNT($CR$4:CR147))</f>
        <v/>
      </c>
      <c r="CP147" s="7" t="e">
        <f t="shared" si="144"/>
        <v>#VALUE!</v>
      </c>
      <c r="CQ147" s="1" t="str">
        <f t="shared" si="145"/>
        <v/>
      </c>
      <c r="CR147" s="79" t="e">
        <f>IF(IF(COUNTIF($CR$4:CR146,CR143)&gt;=MAX($D$4:$D$8),CR143+4,CR143)&gt;55,"",IF(COUNTIF($CR$4:CR146,CR143)&gt;=MAX($D$4:$D$8),CR143+4,CR143))</f>
        <v>#VALUE!</v>
      </c>
      <c r="CS147" s="1" t="e">
        <f t="shared" si="138"/>
        <v>#VALUE!</v>
      </c>
      <c r="CT147" s="8" t="str">
        <f t="shared" si="146"/>
        <v/>
      </c>
      <c r="CV147" s="71" t="e">
        <f t="shared" si="109"/>
        <v>#VALUE!</v>
      </c>
      <c r="CW147" s="71" t="str">
        <f>IF(OR(COUNTBLANK(CZ147)=1,ISERROR(CZ147)),"",COUNT($CZ$4:CZ147))</f>
        <v/>
      </c>
      <c r="CX147" s="7" t="e">
        <f t="shared" si="110"/>
        <v>#VALUE!</v>
      </c>
      <c r="CY147" s="1" t="str">
        <f t="shared" si="111"/>
        <v/>
      </c>
      <c r="CZ147" s="79" t="e">
        <f>IF(IF(COUNTIF($CZ$4:CZ146,CZ142)&gt;=MAX($D$4:$D$8),CZ142+5,CZ142)&gt;55,"",IF(COUNTIF($CZ$4:CZ146,CZ142)&gt;=MAX($D$4:$D$8),CZ142+5,CZ142))</f>
        <v>#VALUE!</v>
      </c>
      <c r="DA147" s="1" t="e">
        <f t="shared" si="139"/>
        <v>#VALUE!</v>
      </c>
      <c r="DB147" s="8" t="str">
        <f t="shared" si="112"/>
        <v/>
      </c>
    </row>
    <row r="148" spans="5:106" x14ac:dyDescent="0.15">
      <c r="E148" s="1">
        <v>145</v>
      </c>
      <c r="F148" s="1">
        <f t="shared" si="140"/>
        <v>1</v>
      </c>
      <c r="G148" s="1">
        <f t="shared" si="147"/>
        <v>1</v>
      </c>
      <c r="H148" s="1">
        <f t="shared" si="141"/>
        <v>1</v>
      </c>
      <c r="I148" s="1">
        <f t="shared" si="142"/>
        <v>1</v>
      </c>
      <c r="J148" s="1">
        <f t="shared" si="148"/>
        <v>1</v>
      </c>
      <c r="L148" s="1" t="str">
        <f>IF(ISERROR(HLOOKUP($C$10,$F$3:$J$253,146,0)),"",HLOOKUP($C$10,$F$3:$J$253,146,0))</f>
        <v/>
      </c>
      <c r="N148" s="67"/>
      <c r="W148" s="71" t="e">
        <f>IF(AA148="","",AA148*10+5)</f>
        <v>#VALUE!</v>
      </c>
      <c r="X148" s="71" t="str">
        <f>IF(OR(COUNTBLANK(AA148)=1,ISERROR(AA148)),"",COUNT(AA4:AA148))</f>
        <v/>
      </c>
      <c r="Y148" s="7" t="e">
        <f t="shared" si="113"/>
        <v>#VALUE!</v>
      </c>
      <c r="Z148" s="1" t="str">
        <f t="shared" si="127"/>
        <v/>
      </c>
      <c r="AA148" s="79" t="e">
        <f>IF(IF(COUNTIF(AA4:AA147,AA147)&gt;=MAX(D4:D8),AA147+1,AA147)&gt;50,"",IF(COUNTIF(AA4:AA147,AA147)&gt;=MAX(D4:D8),AA147+1,AA147))</f>
        <v>#VALUE!</v>
      </c>
      <c r="AB148" s="1" t="e">
        <f>IF(AA148="","",VLOOKUP(AA148,S4:U53,3,0))</f>
        <v>#VALUE!</v>
      </c>
      <c r="AC148" s="8" t="str">
        <f t="shared" si="114"/>
        <v/>
      </c>
      <c r="AE148" s="71" t="e">
        <f t="shared" si="115"/>
        <v>#VALUE!</v>
      </c>
      <c r="AF148" s="71" t="str">
        <f>IF(OR(COUNTBLANK(AI148)=1,ISERROR(AI148)),"",COUNT(AI4:AI148))</f>
        <v/>
      </c>
      <c r="AG148" s="7" t="e">
        <f t="shared" si="116"/>
        <v>#VALUE!</v>
      </c>
      <c r="AH148" s="1" t="str">
        <f>IF(ISERROR(INDEX(C4:C8,MATCH(G148,D4:D8,0))),"",INDEX(C4:C8,MATCH(G148,D4:D8,0)))</f>
        <v/>
      </c>
      <c r="AI148" s="79" t="e">
        <f>IF(IF(COUNTIF(AI4:AI147,AI146)&gt;=MAX(D4:D8),AI146+2,AI146)&gt;50,"",IF(COUNTIF(AI4:AI147,AI146)&gt;=MAX(D4:D8),AI146+2,AI146))</f>
        <v>#VALUE!</v>
      </c>
      <c r="AJ148" s="1" t="e">
        <f>IF(AI148="","",VLOOKUP(AI148,S4:U53,3,0))</f>
        <v>#VALUE!</v>
      </c>
      <c r="AK148" s="8" t="str">
        <f t="shared" si="117"/>
        <v/>
      </c>
      <c r="AM148" s="71" t="e">
        <f t="shared" si="118"/>
        <v>#VALUE!</v>
      </c>
      <c r="AN148" s="71" t="str">
        <f>IF(OR(COUNTBLANK(AQ148)=1,ISERROR(AQ148)),"",COUNT(AQ4:AQ148))</f>
        <v/>
      </c>
      <c r="AO148" s="7" t="e">
        <f t="shared" si="119"/>
        <v>#VALUE!</v>
      </c>
      <c r="AP148" s="1" t="str">
        <f>IF(ISERROR(INDEX(C4:C8,MATCH(H148,D4:D8,0))),"",INDEX(C4:C8,MATCH(H148,D4:D8,0)))</f>
        <v/>
      </c>
      <c r="AQ148" s="79" t="e">
        <f>IF(IF(COUNTIF(AQ4:AQ147,AQ145)&gt;=MAX(D4:D8),AQ145+3,AQ145)&gt;50,"",IF(COUNTIF(AQ4:AQ147,AQ145)&gt;=MAX(D4:D8),AQ145+3,AQ145))</f>
        <v>#VALUE!</v>
      </c>
      <c r="AR148" s="1" t="e">
        <f>IF(AQ148="","",VLOOKUP(AQ148,S4:U53,3,0))</f>
        <v>#VALUE!</v>
      </c>
      <c r="AS148" s="8" t="str">
        <f t="shared" si="120"/>
        <v/>
      </c>
      <c r="AU148" s="71" t="e">
        <f t="shared" si="121"/>
        <v>#VALUE!</v>
      </c>
      <c r="AV148" s="71" t="str">
        <f>IF(OR(COUNTBLANK(AY148)=1,ISERROR(AY148)),"",COUNT(AY4:AY148))</f>
        <v/>
      </c>
      <c r="AW148" s="7" t="e">
        <f t="shared" si="122"/>
        <v>#VALUE!</v>
      </c>
      <c r="AX148" s="1" t="str">
        <f>IF(ISERROR(INDEX(C4:C8,MATCH(I148,D4:D8,0))),"",INDEX(C4:C8,MATCH(I148,D4:D8,0)))</f>
        <v/>
      </c>
      <c r="AY148" s="79" t="e">
        <f>IF(IF(COUNTIF(AY4:AY147,AY144)&gt;=MAX(D4:D8),AY144+4,AY144)&gt;50,"",IF(COUNTIF(AY4:AY147,AY144)&gt;=MAX(D4:D8),AY144+4,AY144))</f>
        <v>#VALUE!</v>
      </c>
      <c r="AZ148" s="76" t="e">
        <f>IF(AY148="","",VLOOKUP(AY148,S4:U53,3,0))</f>
        <v>#VALUE!</v>
      </c>
      <c r="BA148" s="8" t="str">
        <f t="shared" si="123"/>
        <v/>
      </c>
      <c r="BC148" s="71" t="e">
        <f t="shared" si="124"/>
        <v>#VALUE!</v>
      </c>
      <c r="BD148" s="71" t="str">
        <f>IF(OR(COUNTBLANK(BG148)=1,ISERROR(BG148)),"",COUNT(BG4:BG148))</f>
        <v/>
      </c>
      <c r="BE148" s="7" t="e">
        <f t="shared" si="125"/>
        <v>#VALUE!</v>
      </c>
      <c r="BF148" s="1" t="str">
        <f>IF(ISERROR(INDEX(C4:C8,MATCH(J148,D4:D8,0))),"",INDEX(C4:C8,MATCH(J148,D4:D8,0)))</f>
        <v/>
      </c>
      <c r="BG148" s="79" t="e">
        <f>IF(IF(COUNTIF(BG4:BG147,BG143)&gt;=MAX(D4:D8),BG143+5,BG143)&gt;50,"",IF(COUNTIF(BG4:BG147,BG143)&gt;=MAX(D4:D8),BG143+5,BG143))</f>
        <v>#VALUE!</v>
      </c>
      <c r="BH148" s="76" t="e">
        <f>IF(BG148="","",VLOOKUP(BG148,S4:U53,3,0))</f>
        <v>#VALUE!</v>
      </c>
      <c r="BI148" s="8" t="str">
        <f t="shared" si="126"/>
        <v/>
      </c>
      <c r="BP148" s="71" t="e">
        <f>IF(BT148="","",BT148*10+5)</f>
        <v>#VALUE!</v>
      </c>
      <c r="BQ148" s="71" t="str">
        <f>IF(OR(COUNTBLANK(BT148)=1,ISERROR(BT148)),"",COUNT(BT4:BT148))</f>
        <v/>
      </c>
      <c r="BR148" s="7" t="e">
        <f t="shared" si="128"/>
        <v>#VALUE!</v>
      </c>
      <c r="BS148" s="1" t="str">
        <f t="shared" si="129"/>
        <v/>
      </c>
      <c r="BT148" s="79" t="e">
        <f>IF(IF(COUNTIF($BT$4:BT147,BT147)&gt;=MAX($D$4:$D$8),BT147+1,BT147)&gt;55,"",IF(COUNTIF($BT$4:BT147,BT147)&gt;=MAX($D$4:$D$8),BT147+1,BT147))</f>
        <v>#VALUE!</v>
      </c>
      <c r="BU148" s="1" t="e">
        <f t="shared" si="130"/>
        <v>#VALUE!</v>
      </c>
      <c r="BV148" s="8" t="str">
        <f t="shared" si="131"/>
        <v/>
      </c>
      <c r="BX148" s="71" t="e">
        <f t="shared" si="132"/>
        <v>#VALUE!</v>
      </c>
      <c r="BY148" s="71" t="str">
        <f>IF(OR(COUNTBLANK(CB148)=1,ISERROR(CB148)),"",COUNT($CB$4:CB148))</f>
        <v/>
      </c>
      <c r="BZ148" s="7" t="e">
        <f t="shared" si="133"/>
        <v>#VALUE!</v>
      </c>
      <c r="CA148" s="1" t="str">
        <f t="shared" si="134"/>
        <v/>
      </c>
      <c r="CB148" s="79" t="e">
        <f>IF(IF(COUNTIF($CB$4:CB147,CB146)&gt;=MAX($D$4:$D$8),CB146+2,CB146)&gt;55,"",IF(COUNTIF($CB$4:CB147,CB146)&gt;=MAX($D$4:$D$8),CB146+2,CB146))</f>
        <v>#VALUE!</v>
      </c>
      <c r="CC148" s="1" t="e">
        <f t="shared" si="135"/>
        <v>#VALUE!</v>
      </c>
      <c r="CD148" s="8" t="str">
        <f t="shared" si="136"/>
        <v/>
      </c>
      <c r="CF148" s="71" t="e">
        <f t="shared" si="149"/>
        <v>#VALUE!</v>
      </c>
      <c r="CG148" s="71" t="str">
        <f>IF(OR(COUNTBLANK(CJ148)=1,ISERROR(CJ148)),"",COUNT($CJ$4:CJ148))</f>
        <v/>
      </c>
      <c r="CH148" s="7" t="e">
        <f t="shared" si="150"/>
        <v>#VALUE!</v>
      </c>
      <c r="CI148" s="1" t="str">
        <f t="shared" si="151"/>
        <v/>
      </c>
      <c r="CJ148" s="79" t="e">
        <f>IF(IF(COUNTIF($CJ$4:CJ147,CJ145)&gt;=MAX($D$4:$D$8),CJ145+3,CJ145)&gt;55,"",IF(COUNTIF($CJ$4:CJ147,CJ145)&gt;=MAX($D$4:$D$8),CJ145+3,CJ145))</f>
        <v>#VALUE!</v>
      </c>
      <c r="CK148" s="1" t="e">
        <f t="shared" si="137"/>
        <v>#VALUE!</v>
      </c>
      <c r="CL148" s="8" t="str">
        <f t="shared" si="152"/>
        <v/>
      </c>
      <c r="CN148" s="71" t="e">
        <f t="shared" si="143"/>
        <v>#VALUE!</v>
      </c>
      <c r="CO148" s="71" t="str">
        <f>IF(OR(COUNTBLANK(CR148)=1,ISERROR(CR148)),"",COUNT($CR$4:CR148))</f>
        <v/>
      </c>
      <c r="CP148" s="7" t="e">
        <f t="shared" si="144"/>
        <v>#VALUE!</v>
      </c>
      <c r="CQ148" s="1" t="str">
        <f t="shared" si="145"/>
        <v/>
      </c>
      <c r="CR148" s="79" t="e">
        <f>IF(IF(COUNTIF($CR$4:CR147,CR144)&gt;=MAX($D$4:$D$8),CR144+4,CR144)&gt;55,"",IF(COUNTIF($CR$4:CR147,CR144)&gt;=MAX($D$4:$D$8),CR144+4,CR144))</f>
        <v>#VALUE!</v>
      </c>
      <c r="CS148" s="1" t="e">
        <f t="shared" si="138"/>
        <v>#VALUE!</v>
      </c>
      <c r="CT148" s="8" t="str">
        <f t="shared" si="146"/>
        <v/>
      </c>
      <c r="CV148" s="71" t="e">
        <f t="shared" si="109"/>
        <v>#VALUE!</v>
      </c>
      <c r="CW148" s="71" t="str">
        <f>IF(OR(COUNTBLANK(CZ148)=1,ISERROR(CZ148)),"",COUNT($CZ$4:CZ148))</f>
        <v/>
      </c>
      <c r="CX148" s="7" t="e">
        <f t="shared" si="110"/>
        <v>#VALUE!</v>
      </c>
      <c r="CY148" s="1" t="str">
        <f t="shared" si="111"/>
        <v/>
      </c>
      <c r="CZ148" s="79" t="e">
        <f>IF(IF(COUNTIF($CZ$4:CZ147,CZ143)&gt;=MAX($D$4:$D$8),CZ143+5,CZ143)&gt;55,"",IF(COUNTIF($CZ$4:CZ147,CZ143)&gt;=MAX($D$4:$D$8),CZ143+5,CZ143))</f>
        <v>#VALUE!</v>
      </c>
      <c r="DA148" s="1" t="e">
        <f t="shared" si="139"/>
        <v>#VALUE!</v>
      </c>
      <c r="DB148" s="8" t="str">
        <f t="shared" si="112"/>
        <v/>
      </c>
    </row>
    <row r="149" spans="5:106" x14ac:dyDescent="0.15">
      <c r="E149" s="1">
        <v>146</v>
      </c>
      <c r="F149" s="1">
        <f t="shared" si="140"/>
        <v>1</v>
      </c>
      <c r="G149" s="1">
        <f t="shared" si="147"/>
        <v>1</v>
      </c>
      <c r="H149" s="1">
        <f t="shared" si="141"/>
        <v>1</v>
      </c>
      <c r="I149" s="1">
        <f t="shared" si="142"/>
        <v>1</v>
      </c>
      <c r="J149" s="1">
        <f t="shared" si="148"/>
        <v>1</v>
      </c>
      <c r="L149" s="1" t="str">
        <f>IF(ISERROR(HLOOKUP($C$10,$F$3:$J$253,147,0)),"",HLOOKUP($C$10,$F$3:$J$253,147,0))</f>
        <v/>
      </c>
      <c r="N149" s="67"/>
      <c r="W149" s="71" t="e">
        <f>IF(AA149="","",AA149*10+1)</f>
        <v>#VALUE!</v>
      </c>
      <c r="X149" s="71" t="str">
        <f>IF(OR(COUNTBLANK(AA149)=1,ISERROR(AA149)),"",COUNT(AA4:AA149))</f>
        <v/>
      </c>
      <c r="Y149" s="7" t="e">
        <f t="shared" si="113"/>
        <v>#VALUE!</v>
      </c>
      <c r="Z149" s="1" t="str">
        <f t="shared" si="127"/>
        <v/>
      </c>
      <c r="AA149" s="79" t="e">
        <f>IF(IF(COUNTIF(AA4:AA148,AA148)&gt;=MAX(D4:D8),AA148+1,AA148)&gt;50,"",IF(COUNTIF(AA4:AA148,AA148)&gt;=MAX(D4:D8),AA148+1,AA148))</f>
        <v>#VALUE!</v>
      </c>
      <c r="AB149" s="1" t="e">
        <f>IF(AA149="","",VLOOKUP(AA149,S4:U53,3,0))</f>
        <v>#VALUE!</v>
      </c>
      <c r="AC149" s="8" t="str">
        <f t="shared" si="114"/>
        <v/>
      </c>
      <c r="AE149" s="71" t="e">
        <f t="shared" si="115"/>
        <v>#VALUE!</v>
      </c>
      <c r="AF149" s="71" t="str">
        <f>IF(OR(COUNTBLANK(AI149)=1,ISERROR(AI149)),"",COUNT(AI4:AI149))</f>
        <v/>
      </c>
      <c r="AG149" s="7" t="e">
        <f t="shared" si="116"/>
        <v>#VALUE!</v>
      </c>
      <c r="AH149" s="1" t="str">
        <f>IF(ISERROR(INDEX(C4:C8,MATCH(G149,D4:D8,0))),"",INDEX(C4:C8,MATCH(G149,D4:D8,0)))</f>
        <v/>
      </c>
      <c r="AI149" s="79" t="e">
        <f>IF(IF(COUNTIF(AI4:AI147,AI147)&gt;=MAX(D4:D8),AI147+2,AI147)&gt;50,"",IF(COUNTIF(AI4:AI147,AI147)&gt;=MAX(D4:D8),AI147+2,AI147))</f>
        <v>#VALUE!</v>
      </c>
      <c r="AJ149" s="1" t="e">
        <f>IF(AI149="","",VLOOKUP(AI149,S4:U53,3,0))</f>
        <v>#VALUE!</v>
      </c>
      <c r="AK149" s="8" t="str">
        <f t="shared" si="117"/>
        <v/>
      </c>
      <c r="AM149" s="71" t="e">
        <f t="shared" si="118"/>
        <v>#VALUE!</v>
      </c>
      <c r="AN149" s="71" t="str">
        <f>IF(OR(COUNTBLANK(AQ149)=1,ISERROR(AQ149)),"",COUNT(AQ4:AQ149))</f>
        <v/>
      </c>
      <c r="AO149" s="7" t="e">
        <f t="shared" si="119"/>
        <v>#VALUE!</v>
      </c>
      <c r="AP149" s="1" t="str">
        <f>IF(ISERROR(INDEX(C4:C8,MATCH(H149,D4:D8,0))),"",INDEX(C4:C8,MATCH(H149,D4:D8,0)))</f>
        <v/>
      </c>
      <c r="AQ149" s="79" t="e">
        <f>IF(IF(COUNTIF(AQ4:AQ148,AQ146)&gt;=MAX(D4:D8),AQ146+3,AQ146)&gt;50,"",IF(COUNTIF(AQ4:AQ148,AQ146)&gt;=MAX(D4:D8),AQ146+3,AQ146))</f>
        <v>#VALUE!</v>
      </c>
      <c r="AR149" s="1" t="e">
        <f>IF(AQ149="","",VLOOKUP(AQ149,S4:U53,3,0))</f>
        <v>#VALUE!</v>
      </c>
      <c r="AS149" s="8" t="str">
        <f t="shared" si="120"/>
        <v/>
      </c>
      <c r="AU149" s="71" t="e">
        <f t="shared" si="121"/>
        <v>#VALUE!</v>
      </c>
      <c r="AV149" s="71" t="str">
        <f>IF(OR(COUNTBLANK(AY149)=1,ISERROR(AY149)),"",COUNT(AY4:AY149))</f>
        <v/>
      </c>
      <c r="AW149" s="7" t="e">
        <f t="shared" si="122"/>
        <v>#VALUE!</v>
      </c>
      <c r="AX149" s="1" t="str">
        <f>IF(ISERROR(INDEX(C4:C8,MATCH(I149,D4:D8,0))),"",INDEX(C4:C8,MATCH(I149,D4:D8,0)))</f>
        <v/>
      </c>
      <c r="AY149" s="79" t="e">
        <f>IF(IF(COUNTIF(AY4:AY148,AY145)&gt;=MAX(D4:D8),AY145+4,AY145)&gt;50,"",IF(COUNTIF(AY4:AY148,AY145)&gt;=MAX(D4:D8),AY145+4,AY145))</f>
        <v>#VALUE!</v>
      </c>
      <c r="AZ149" s="76" t="e">
        <f>IF(AY149="","",VLOOKUP(AY149,S4:U53,3,0))</f>
        <v>#VALUE!</v>
      </c>
      <c r="BA149" s="8" t="str">
        <f t="shared" si="123"/>
        <v/>
      </c>
      <c r="BC149" s="71" t="e">
        <f t="shared" si="124"/>
        <v>#VALUE!</v>
      </c>
      <c r="BD149" s="71" t="str">
        <f>IF(OR(COUNTBLANK(BG149)=1,ISERROR(BG149)),"",COUNT(BG4:BG149))</f>
        <v/>
      </c>
      <c r="BE149" s="7" t="e">
        <f t="shared" si="125"/>
        <v>#VALUE!</v>
      </c>
      <c r="BF149" s="1" t="str">
        <f>IF(ISERROR(INDEX(C4:C8,MATCH(J149,D4:D8,0))),"",INDEX(C4:C8,MATCH(J149,D4:D8,0)))</f>
        <v/>
      </c>
      <c r="BG149" s="79" t="e">
        <f>IF(IF(COUNTIF(BG4:BG148,BG144)&gt;=MAX(D4:D8),BG144+5,BG144)&gt;50,"",IF(COUNTIF(BG4:BG148,BG144)&gt;=MAX(D4:D8),BG144+5,BG144))</f>
        <v>#VALUE!</v>
      </c>
      <c r="BH149" s="76" t="e">
        <f>IF(BG149="","",VLOOKUP(BG149,S4:U53,3,0))</f>
        <v>#VALUE!</v>
      </c>
      <c r="BI149" s="8" t="str">
        <f t="shared" si="126"/>
        <v/>
      </c>
      <c r="BP149" s="71" t="e">
        <f>IF(BT149="","",BT149*10+1)</f>
        <v>#VALUE!</v>
      </c>
      <c r="BQ149" s="71" t="str">
        <f>IF(OR(COUNTBLANK(BT149)=1,ISERROR(BT149)),"",COUNT(BT4:BT149))</f>
        <v/>
      </c>
      <c r="BR149" s="7" t="e">
        <f t="shared" si="128"/>
        <v>#VALUE!</v>
      </c>
      <c r="BS149" s="1" t="str">
        <f t="shared" si="129"/>
        <v/>
      </c>
      <c r="BT149" s="79" t="e">
        <f>IF(IF(COUNTIF($BT$4:BT148,BT148)&gt;=MAX($D$4:$D$8),BT148+1,BT148)&gt;55,"",IF(COUNTIF($BT$4:BT148,BT148)&gt;=MAX($D$4:$D$8),BT148+1,BT148))</f>
        <v>#VALUE!</v>
      </c>
      <c r="BU149" s="1" t="e">
        <f t="shared" si="130"/>
        <v>#VALUE!</v>
      </c>
      <c r="BV149" s="8" t="str">
        <f t="shared" si="131"/>
        <v/>
      </c>
      <c r="BX149" s="71" t="e">
        <f t="shared" si="132"/>
        <v>#VALUE!</v>
      </c>
      <c r="BY149" s="71" t="str">
        <f>IF(OR(COUNTBLANK(CB149)=1,ISERROR(CB149)),"",COUNT($CB$4:CB149))</f>
        <v/>
      </c>
      <c r="BZ149" s="7" t="e">
        <f t="shared" si="133"/>
        <v>#VALUE!</v>
      </c>
      <c r="CA149" s="1" t="str">
        <f t="shared" si="134"/>
        <v/>
      </c>
      <c r="CB149" s="79" t="e">
        <f>IF(IF(COUNTIF($CB$4:CB148,CB147)&gt;=MAX($D$4:$D$8),CB147+2,CB147)&gt;55,"",IF(COUNTIF($CB$4:CB148,CB147)&gt;=MAX($D$4:$D$8),CB147+2,CB147))</f>
        <v>#VALUE!</v>
      </c>
      <c r="CC149" s="1" t="e">
        <f t="shared" si="135"/>
        <v>#VALUE!</v>
      </c>
      <c r="CD149" s="8" t="str">
        <f t="shared" si="136"/>
        <v/>
      </c>
      <c r="CF149" s="71" t="e">
        <f t="shared" si="149"/>
        <v>#VALUE!</v>
      </c>
      <c r="CG149" s="71" t="str">
        <f>IF(OR(COUNTBLANK(CJ149)=1,ISERROR(CJ149)),"",COUNT($CJ$4:CJ149))</f>
        <v/>
      </c>
      <c r="CH149" s="7" t="e">
        <f t="shared" si="150"/>
        <v>#VALUE!</v>
      </c>
      <c r="CI149" s="1" t="str">
        <f t="shared" si="151"/>
        <v/>
      </c>
      <c r="CJ149" s="79" t="e">
        <f>IF(IF(COUNTIF($CJ$4:CJ148,CJ146)&gt;=MAX($D$4:$D$8),CJ146+3,CJ146)&gt;55,"",IF(COUNTIF($CJ$4:CJ148,CJ146)&gt;=MAX($D$4:$D$8),CJ146+3,CJ146))</f>
        <v>#VALUE!</v>
      </c>
      <c r="CK149" s="1" t="e">
        <f t="shared" si="137"/>
        <v>#VALUE!</v>
      </c>
      <c r="CL149" s="8" t="str">
        <f t="shared" si="152"/>
        <v/>
      </c>
      <c r="CN149" s="71" t="e">
        <f t="shared" si="143"/>
        <v>#VALUE!</v>
      </c>
      <c r="CO149" s="71" t="str">
        <f>IF(OR(COUNTBLANK(CR149)=1,ISERROR(CR149)),"",COUNT($CR$4:CR149))</f>
        <v/>
      </c>
      <c r="CP149" s="7" t="e">
        <f t="shared" si="144"/>
        <v>#VALUE!</v>
      </c>
      <c r="CQ149" s="1" t="str">
        <f t="shared" si="145"/>
        <v/>
      </c>
      <c r="CR149" s="79" t="e">
        <f>IF(IF(COUNTIF($CR$4:CR148,CR145)&gt;=MAX($D$4:$D$8),CR145+4,CR145)&gt;55,"",IF(COUNTIF($CR$4:CR148,CR145)&gt;=MAX($D$4:$D$8),CR145+4,CR145))</f>
        <v>#VALUE!</v>
      </c>
      <c r="CS149" s="1" t="e">
        <f t="shared" si="138"/>
        <v>#VALUE!</v>
      </c>
      <c r="CT149" s="8" t="str">
        <f t="shared" si="146"/>
        <v/>
      </c>
      <c r="CV149" s="71" t="e">
        <f t="shared" si="109"/>
        <v>#VALUE!</v>
      </c>
      <c r="CW149" s="71" t="str">
        <f>IF(OR(COUNTBLANK(CZ149)=1,ISERROR(CZ149)),"",COUNT($CZ$4:CZ149))</f>
        <v/>
      </c>
      <c r="CX149" s="7" t="e">
        <f t="shared" si="110"/>
        <v>#VALUE!</v>
      </c>
      <c r="CY149" s="1" t="str">
        <f t="shared" si="111"/>
        <v/>
      </c>
      <c r="CZ149" s="79" t="e">
        <f>IF(IF(COUNTIF($CZ$4:CZ148,CZ144)&gt;=MAX($D$4:$D$8),CZ144+5,CZ144)&gt;55,"",IF(COUNTIF($CZ$4:CZ148,CZ144)&gt;=MAX($D$4:$D$8),CZ144+5,CZ144))</f>
        <v>#VALUE!</v>
      </c>
      <c r="DA149" s="1" t="e">
        <f t="shared" si="139"/>
        <v>#VALUE!</v>
      </c>
      <c r="DB149" s="8" t="str">
        <f t="shared" si="112"/>
        <v/>
      </c>
    </row>
    <row r="150" spans="5:106" x14ac:dyDescent="0.15">
      <c r="E150" s="1">
        <v>147</v>
      </c>
      <c r="F150" s="1">
        <f t="shared" si="140"/>
        <v>1</v>
      </c>
      <c r="G150" s="1">
        <f t="shared" si="147"/>
        <v>1</v>
      </c>
      <c r="H150" s="1">
        <f t="shared" si="141"/>
        <v>1</v>
      </c>
      <c r="I150" s="1">
        <f t="shared" si="142"/>
        <v>1</v>
      </c>
      <c r="J150" s="1">
        <f t="shared" si="148"/>
        <v>1</v>
      </c>
      <c r="L150" s="1" t="str">
        <f>IF(ISERROR(HLOOKUP($C$10,$F$3:$J$253,148,0)),"",HLOOKUP($C$10,$F$3:$J$253,148,0))</f>
        <v/>
      </c>
      <c r="N150" s="67"/>
      <c r="W150" s="71" t="e">
        <f>IF(AA150="","",AA150*10+2)</f>
        <v>#VALUE!</v>
      </c>
      <c r="X150" s="71" t="str">
        <f>IF(OR(COUNTBLANK(AA150)=1,ISERROR(AA150)),"",COUNT(AA4:AA150))</f>
        <v/>
      </c>
      <c r="Y150" s="7" t="e">
        <f t="shared" si="113"/>
        <v>#VALUE!</v>
      </c>
      <c r="Z150" s="1" t="str">
        <f t="shared" si="127"/>
        <v/>
      </c>
      <c r="AA150" s="79" t="e">
        <f>IF(IF(COUNTIF(AA4:AA149,AA149)&gt;=MAX(D4:D8),AA149+1,AA149)&gt;50,"",IF(COUNTIF(AA4:AA149,AA149)&gt;=MAX(D4:D8),AA149+1,AA149))</f>
        <v>#VALUE!</v>
      </c>
      <c r="AB150" s="1" t="e">
        <f>IF(AA150="","",VLOOKUP(AA150,S4:U53,3,0))</f>
        <v>#VALUE!</v>
      </c>
      <c r="AC150" s="8" t="str">
        <f t="shared" si="114"/>
        <v/>
      </c>
      <c r="AE150" s="71" t="e">
        <f t="shared" si="115"/>
        <v>#VALUE!</v>
      </c>
      <c r="AF150" s="71" t="str">
        <f>IF(OR(COUNTBLANK(AI150)=1,ISERROR(AI150)),"",COUNT(AI4:AI150))</f>
        <v/>
      </c>
      <c r="AG150" s="7" t="e">
        <f t="shared" si="116"/>
        <v>#VALUE!</v>
      </c>
      <c r="AH150" s="1" t="str">
        <f>IF(ISERROR(INDEX(C4:C8,MATCH(G150,D4:D8,0))),"",INDEX(C4:C8,MATCH(G150,D4:D8,0)))</f>
        <v/>
      </c>
      <c r="AI150" s="79" t="e">
        <f>IF(IF(COUNTIF(AI4:AI149,AI148)&gt;=MAX(D4:D8),AI148+2,AI148)&gt;50,"",IF(COUNTIF(AI4:AI149,AI148)&gt;=MAX(D4:D8),AI148+2,AI148))</f>
        <v>#VALUE!</v>
      </c>
      <c r="AJ150" s="1" t="e">
        <f>IF(AI150="","",VLOOKUP(AI150,S4:U53,3,0))</f>
        <v>#VALUE!</v>
      </c>
      <c r="AK150" s="8" t="str">
        <f t="shared" si="117"/>
        <v/>
      </c>
      <c r="AM150" s="71" t="e">
        <f t="shared" si="118"/>
        <v>#VALUE!</v>
      </c>
      <c r="AN150" s="71" t="str">
        <f>IF(OR(COUNTBLANK(AQ150)=1,ISERROR(AQ150)),"",COUNT(AQ4:AQ150))</f>
        <v/>
      </c>
      <c r="AO150" s="7" t="e">
        <f t="shared" si="119"/>
        <v>#VALUE!</v>
      </c>
      <c r="AP150" s="1" t="str">
        <f>IF(ISERROR(INDEX(C4:C8,MATCH(H150,D4:D8,0))),"",INDEX(C4:C8,MATCH(H150,D4:D8,0)))</f>
        <v/>
      </c>
      <c r="AQ150" s="79" t="e">
        <f>IF(IF(COUNTIF(AQ4:AQ149,AQ147)&gt;=MAX(D4:D8),AQ147+3,AQ147)&gt;50,"",IF(COUNTIF(AQ4:AQ149,AQ147)&gt;=MAX(D4:D8),AQ147+3,AQ147))</f>
        <v>#VALUE!</v>
      </c>
      <c r="AR150" s="1" t="e">
        <f>IF(AQ150="","",VLOOKUP(AQ150,S4:U53,3,0))</f>
        <v>#VALUE!</v>
      </c>
      <c r="AS150" s="8" t="str">
        <f t="shared" si="120"/>
        <v/>
      </c>
      <c r="AU150" s="71" t="e">
        <f t="shared" si="121"/>
        <v>#VALUE!</v>
      </c>
      <c r="AV150" s="71" t="str">
        <f>IF(OR(COUNTBLANK(AY150)=1,ISERROR(AY150)),"",COUNT(AY4:AY150))</f>
        <v/>
      </c>
      <c r="AW150" s="7" t="e">
        <f t="shared" si="122"/>
        <v>#VALUE!</v>
      </c>
      <c r="AX150" s="1" t="str">
        <f>IF(ISERROR(INDEX(C4:C8,MATCH(I150,D4:D8,0))),"",INDEX(C4:C8,MATCH(I150,D4:D8,0)))</f>
        <v/>
      </c>
      <c r="AY150" s="79" t="e">
        <f>IF(IF(COUNTIF(AY4:AY149,AY146)&gt;=MAX(D4:D8),AY146+4,AY146)&gt;50,"",IF(COUNTIF(AY4:AY149,AY146)&gt;=MAX(D4:D8),AY146+4,AY146))</f>
        <v>#VALUE!</v>
      </c>
      <c r="AZ150" s="76" t="e">
        <f>IF(AY150="","",VLOOKUP(AY150,S4:U53,3,0))</f>
        <v>#VALUE!</v>
      </c>
      <c r="BA150" s="8" t="str">
        <f t="shared" si="123"/>
        <v/>
      </c>
      <c r="BC150" s="71" t="e">
        <f t="shared" si="124"/>
        <v>#VALUE!</v>
      </c>
      <c r="BD150" s="71" t="str">
        <f>IF(OR(COUNTBLANK(BG150)=1,ISERROR(BG150)),"",COUNT(BG4:BG150))</f>
        <v/>
      </c>
      <c r="BE150" s="7" t="e">
        <f t="shared" si="125"/>
        <v>#VALUE!</v>
      </c>
      <c r="BF150" s="1" t="str">
        <f>IF(ISERROR(INDEX(C4:C8,MATCH(J150,D4:D8,0))),"",INDEX(C4:C8,MATCH(J150,D4:D8,0)))</f>
        <v/>
      </c>
      <c r="BG150" s="79" t="e">
        <f>IF(IF(COUNTIF(BG4:BG149,BG145)&gt;=MAX(D4:D8),BG145+5,BG145)&gt;50,"",IF(COUNTIF(BG4:BG149,BG145)&gt;=MAX(D4:D8),BG145+5,BG145))</f>
        <v>#VALUE!</v>
      </c>
      <c r="BH150" s="76" t="e">
        <f>IF(BG150="","",VLOOKUP(BG150,S4:U53,3,0))</f>
        <v>#VALUE!</v>
      </c>
      <c r="BI150" s="8" t="str">
        <f t="shared" si="126"/>
        <v/>
      </c>
      <c r="BP150" s="71" t="e">
        <f>IF(BT150="","",BT150*10+2)</f>
        <v>#VALUE!</v>
      </c>
      <c r="BQ150" s="71" t="str">
        <f>IF(OR(COUNTBLANK(BT150)=1,ISERROR(BT150)),"",COUNT(BT4:BT150))</f>
        <v/>
      </c>
      <c r="BR150" s="7" t="e">
        <f t="shared" si="128"/>
        <v>#VALUE!</v>
      </c>
      <c r="BS150" s="1" t="str">
        <f t="shared" si="129"/>
        <v/>
      </c>
      <c r="BT150" s="79" t="e">
        <f>IF(IF(COUNTIF($BT$4:BT149,BT149)&gt;=MAX($D$4:$D$8),BT149+1,BT149)&gt;55,"",IF(COUNTIF($BT$4:BT149,BT149)&gt;=MAX($D$4:$D$8),BT149+1,BT149))</f>
        <v>#VALUE!</v>
      </c>
      <c r="BU150" s="1" t="e">
        <f t="shared" si="130"/>
        <v>#VALUE!</v>
      </c>
      <c r="BV150" s="8" t="str">
        <f t="shared" si="131"/>
        <v/>
      </c>
      <c r="BX150" s="71" t="e">
        <f t="shared" si="132"/>
        <v>#VALUE!</v>
      </c>
      <c r="BY150" s="71" t="str">
        <f>IF(OR(COUNTBLANK(CB150)=1,ISERROR(CB150)),"",COUNT($CB$4:CB150))</f>
        <v/>
      </c>
      <c r="BZ150" s="7" t="e">
        <f t="shared" si="133"/>
        <v>#VALUE!</v>
      </c>
      <c r="CA150" s="1" t="str">
        <f t="shared" si="134"/>
        <v/>
      </c>
      <c r="CB150" s="79" t="e">
        <f>IF(IF(COUNTIF($CB$4:CB149,CB148)&gt;=MAX($D$4:$D$8),CB148+2,CB148)&gt;55,"",IF(COUNTIF($CB$4:CB149,CB148)&gt;=MAX($D$4:$D$8),CB148+2,CB148))</f>
        <v>#VALUE!</v>
      </c>
      <c r="CC150" s="1" t="e">
        <f t="shared" si="135"/>
        <v>#VALUE!</v>
      </c>
      <c r="CD150" s="8" t="str">
        <f t="shared" si="136"/>
        <v/>
      </c>
      <c r="CF150" s="71" t="e">
        <f t="shared" si="149"/>
        <v>#VALUE!</v>
      </c>
      <c r="CG150" s="71" t="str">
        <f>IF(OR(COUNTBLANK(CJ150)=1,ISERROR(CJ150)),"",COUNT($CJ$4:CJ150))</f>
        <v/>
      </c>
      <c r="CH150" s="7" t="e">
        <f t="shared" si="150"/>
        <v>#VALUE!</v>
      </c>
      <c r="CI150" s="1" t="str">
        <f t="shared" si="151"/>
        <v/>
      </c>
      <c r="CJ150" s="79" t="e">
        <f>IF(IF(COUNTIF($CJ$4:CJ149,CJ147)&gt;=MAX($D$4:$D$8),CJ147+3,CJ147)&gt;55,"",IF(COUNTIF($CJ$4:CJ149,CJ147)&gt;=MAX($D$4:$D$8),CJ147+3,CJ147))</f>
        <v>#VALUE!</v>
      </c>
      <c r="CK150" s="1" t="e">
        <f t="shared" si="137"/>
        <v>#VALUE!</v>
      </c>
      <c r="CL150" s="8" t="str">
        <f t="shared" si="152"/>
        <v/>
      </c>
      <c r="CN150" s="71" t="e">
        <f t="shared" si="143"/>
        <v>#VALUE!</v>
      </c>
      <c r="CO150" s="71" t="str">
        <f>IF(OR(COUNTBLANK(CR150)=1,ISERROR(CR150)),"",COUNT($CR$4:CR150))</f>
        <v/>
      </c>
      <c r="CP150" s="7" t="e">
        <f t="shared" si="144"/>
        <v>#VALUE!</v>
      </c>
      <c r="CQ150" s="1" t="str">
        <f t="shared" si="145"/>
        <v/>
      </c>
      <c r="CR150" s="79" t="e">
        <f>IF(IF(COUNTIF($CR$4:CR149,CR146)&gt;=MAX($D$4:$D$8),CR146+4,CR146)&gt;55,"",IF(COUNTIF($CR$4:CR149,CR146)&gt;=MAX($D$4:$D$8),CR146+4,CR146))</f>
        <v>#VALUE!</v>
      </c>
      <c r="CS150" s="1" t="e">
        <f t="shared" si="138"/>
        <v>#VALUE!</v>
      </c>
      <c r="CT150" s="8" t="str">
        <f t="shared" si="146"/>
        <v/>
      </c>
      <c r="CV150" s="71" t="e">
        <f t="shared" ref="CV150:CV213" si="153">IF(CZ150="","",CZ150*10+J150)</f>
        <v>#VALUE!</v>
      </c>
      <c r="CW150" s="71" t="str">
        <f>IF(OR(COUNTBLANK(CZ150)=1,ISERROR(CZ150)),"",COUNT($CZ$4:CZ150))</f>
        <v/>
      </c>
      <c r="CX150" s="7" t="e">
        <f t="shared" ref="CX150:CX213" si="154">IF(CZ150&gt;25,"ナビ・","1・2年のWナビ・")</f>
        <v>#VALUE!</v>
      </c>
      <c r="CY150" s="1" t="str">
        <f t="shared" ref="CY150:CY213" si="155">IF(ISERROR(INDEX($C$4:$C$8,MATCH(J150,$D$4:$D$8,0))),"",INDEX($C$4:$C$8,MATCH(J150,$D$4:$D$8,0)))</f>
        <v/>
      </c>
      <c r="CZ150" s="79" t="e">
        <f>IF(IF(COUNTIF($CZ$4:CZ149,CZ145)&gt;=MAX($D$4:$D$8),CZ145+5,CZ145)&gt;55,"",IF(COUNTIF($CZ$4:CZ149,CZ145)&gt;=MAX($D$4:$D$8),CZ145+5,CZ145))</f>
        <v>#VALUE!</v>
      </c>
      <c r="DA150" s="1" t="e">
        <f t="shared" si="139"/>
        <v>#VALUE!</v>
      </c>
      <c r="DB150" s="8" t="str">
        <f t="shared" ref="DB150:DB213" si="156">IF(ISERROR(IF(COUNTIF(CY150:DA150,"")&gt;=1,"",CX150&amp;CY150&amp;"【"&amp;VLOOKUP(CZ150,$BL$4:$BN$58,2,0)&amp;"】"&amp;DA150)),"",IF(COUNTIF(CY150:DA150,"")&gt;=1,"",CX150&amp;CY150&amp;"【"&amp;VLOOKUP(CZ150,$BL$4:$BN$58,2,0)&amp;"】"&amp;DA150))</f>
        <v/>
      </c>
    </row>
    <row r="151" spans="5:106" x14ac:dyDescent="0.15">
      <c r="E151" s="1">
        <v>148</v>
      </c>
      <c r="F151" s="1">
        <f t="shared" si="140"/>
        <v>1</v>
      </c>
      <c r="G151" s="1">
        <f t="shared" si="147"/>
        <v>1</v>
      </c>
      <c r="H151" s="1">
        <f t="shared" si="141"/>
        <v>1</v>
      </c>
      <c r="I151" s="1">
        <f t="shared" si="142"/>
        <v>1</v>
      </c>
      <c r="J151" s="1">
        <f t="shared" si="148"/>
        <v>1</v>
      </c>
      <c r="L151" s="1" t="str">
        <f>IF(ISERROR(HLOOKUP($C$10,$F$3:$J$253,149,0)),"",HLOOKUP($C$10,$F$3:$J$253,149,0))</f>
        <v/>
      </c>
      <c r="N151" s="67"/>
      <c r="W151" s="71" t="e">
        <f>IF(AA151="","",AA151*10+3)</f>
        <v>#VALUE!</v>
      </c>
      <c r="X151" s="71" t="str">
        <f>IF(OR(COUNTBLANK(AA151)=1,ISERROR(AA151)),"",COUNT(AA4:AA151))</f>
        <v/>
      </c>
      <c r="Y151" s="7" t="e">
        <f t="shared" si="113"/>
        <v>#VALUE!</v>
      </c>
      <c r="Z151" s="1" t="str">
        <f t="shared" si="127"/>
        <v/>
      </c>
      <c r="AA151" s="79" t="e">
        <f>IF(IF(COUNTIF(AA4:AA150,AA150)&gt;=MAX(D4:D8),AA150+1,AA150)&gt;50,"",IF(COUNTIF(AA4:AA150,AA150)&gt;=MAX(D4:D8),AA150+1,AA150))</f>
        <v>#VALUE!</v>
      </c>
      <c r="AB151" s="1" t="e">
        <f>IF(AA151="","",VLOOKUP(AA151,S4:U53,3,0))</f>
        <v>#VALUE!</v>
      </c>
      <c r="AC151" s="8" t="str">
        <f t="shared" si="114"/>
        <v/>
      </c>
      <c r="AE151" s="71" t="e">
        <f t="shared" si="115"/>
        <v>#VALUE!</v>
      </c>
      <c r="AF151" s="71" t="str">
        <f>IF(OR(COUNTBLANK(AI151)=1,ISERROR(AI151)),"",COUNT(AI4:AI151))</f>
        <v/>
      </c>
      <c r="AG151" s="7" t="e">
        <f t="shared" si="116"/>
        <v>#VALUE!</v>
      </c>
      <c r="AH151" s="1" t="str">
        <f>IF(ISERROR(INDEX(C4:C8,MATCH(G151,D4:D8,0))),"",INDEX(C4:C8,MATCH(G151,D4:D8,0)))</f>
        <v/>
      </c>
      <c r="AI151" s="79" t="e">
        <f>IF(IF(COUNTIF(AI4:AI149,AI149)&gt;=MAX(D4:D8),AI149+2,AI149)&gt;50,"",IF(COUNTIF(AI4:AI149,AI149)&gt;=MAX(D4:D8),AI149+2,AI149))</f>
        <v>#VALUE!</v>
      </c>
      <c r="AJ151" s="1" t="e">
        <f>IF(AI151="","",VLOOKUP(AI151,S4:U53,3,0))</f>
        <v>#VALUE!</v>
      </c>
      <c r="AK151" s="8" t="str">
        <f t="shared" si="117"/>
        <v/>
      </c>
      <c r="AM151" s="71" t="e">
        <f t="shared" si="118"/>
        <v>#VALUE!</v>
      </c>
      <c r="AN151" s="71" t="str">
        <f>IF(OR(COUNTBLANK(AQ151)=1,ISERROR(AQ151)),"",COUNT(AQ4:AQ151))</f>
        <v/>
      </c>
      <c r="AO151" s="7" t="e">
        <f t="shared" si="119"/>
        <v>#VALUE!</v>
      </c>
      <c r="AP151" s="1" t="str">
        <f>IF(ISERROR(INDEX(C4:C8,MATCH(H151,D4:D8,0))),"",INDEX(C4:C8,MATCH(H151,D4:D8,0)))</f>
        <v/>
      </c>
      <c r="AQ151" s="79" t="e">
        <f>IF(IF(COUNTIF(AQ4:AQ150,AQ148)&gt;=MAX(D4:D8),AQ148+3,AQ148)&gt;50,"",IF(COUNTIF(AQ4:AQ150,AQ148)&gt;=MAX(D4:D8),AQ148+3,AQ148))</f>
        <v>#VALUE!</v>
      </c>
      <c r="AR151" s="1" t="e">
        <f>IF(AQ151="","",VLOOKUP(AQ151,S4:U53,3,0))</f>
        <v>#VALUE!</v>
      </c>
      <c r="AS151" s="8" t="str">
        <f t="shared" si="120"/>
        <v/>
      </c>
      <c r="AU151" s="71" t="e">
        <f t="shared" si="121"/>
        <v>#VALUE!</v>
      </c>
      <c r="AV151" s="71" t="str">
        <f>IF(OR(COUNTBLANK(AY151)=1,ISERROR(AY151)),"",COUNT(AY4:AY151))</f>
        <v/>
      </c>
      <c r="AW151" s="7" t="e">
        <f t="shared" si="122"/>
        <v>#VALUE!</v>
      </c>
      <c r="AX151" s="1" t="str">
        <f>IF(ISERROR(INDEX(C4:C8,MATCH(I151,D4:D8,0))),"",INDEX(C4:C8,MATCH(I151,D4:D8,0)))</f>
        <v/>
      </c>
      <c r="AY151" s="79" t="e">
        <f>IF(IF(COUNTIF(AY4:AY150,AY147)&gt;=MAX(D4:D8),AY147+4,AY147)&gt;50,"",IF(COUNTIF(AY4:AY150,AY147)&gt;=MAX(D4:D8),AY147+4,AY147))</f>
        <v>#VALUE!</v>
      </c>
      <c r="AZ151" s="76" t="e">
        <f>IF(AY151="","",VLOOKUP(AY151,S4:U53,3,0))</f>
        <v>#VALUE!</v>
      </c>
      <c r="BA151" s="8" t="str">
        <f t="shared" si="123"/>
        <v/>
      </c>
      <c r="BC151" s="71" t="e">
        <f t="shared" si="124"/>
        <v>#VALUE!</v>
      </c>
      <c r="BD151" s="71" t="str">
        <f>IF(OR(COUNTBLANK(BG151)=1,ISERROR(BG151)),"",COUNT(BG4:BG151))</f>
        <v/>
      </c>
      <c r="BE151" s="7" t="e">
        <f t="shared" si="125"/>
        <v>#VALUE!</v>
      </c>
      <c r="BF151" s="1" t="str">
        <f>IF(ISERROR(INDEX(C4:C8,MATCH(J151,D4:D8,0))),"",INDEX(C4:C8,MATCH(J151,D4:D8,0)))</f>
        <v/>
      </c>
      <c r="BG151" s="79" t="e">
        <f>IF(IF(COUNTIF(BG4:BG150,BG146)&gt;=MAX(D4:D8),BG146+5,BG146)&gt;50,"",IF(COUNTIF(BG4:BG150,BG146)&gt;=MAX(D4:D8),BG146+5,BG146))</f>
        <v>#VALUE!</v>
      </c>
      <c r="BH151" s="76" t="e">
        <f>IF(BG151="","",VLOOKUP(BG151,S4:U53,3,0))</f>
        <v>#VALUE!</v>
      </c>
      <c r="BI151" s="8" t="str">
        <f t="shared" si="126"/>
        <v/>
      </c>
      <c r="BP151" s="71" t="e">
        <f>IF(BT151="","",BT151*10+3)</f>
        <v>#VALUE!</v>
      </c>
      <c r="BQ151" s="71" t="str">
        <f>IF(OR(COUNTBLANK(BT151)=1,ISERROR(BT151)),"",COUNT(BT4:BT151))</f>
        <v/>
      </c>
      <c r="BR151" s="7" t="e">
        <f t="shared" si="128"/>
        <v>#VALUE!</v>
      </c>
      <c r="BS151" s="1" t="str">
        <f t="shared" si="129"/>
        <v/>
      </c>
      <c r="BT151" s="79" t="e">
        <f>IF(IF(COUNTIF($BT$4:BT150,BT150)&gt;=MAX($D$4:$D$8),BT150+1,BT150)&gt;55,"",IF(COUNTIF($BT$4:BT150,BT150)&gt;=MAX($D$4:$D$8),BT150+1,BT150))</f>
        <v>#VALUE!</v>
      </c>
      <c r="BU151" s="1" t="e">
        <f t="shared" si="130"/>
        <v>#VALUE!</v>
      </c>
      <c r="BV151" s="8" t="str">
        <f t="shared" si="131"/>
        <v/>
      </c>
      <c r="BX151" s="71" t="e">
        <f t="shared" si="132"/>
        <v>#VALUE!</v>
      </c>
      <c r="BY151" s="71" t="str">
        <f>IF(OR(COUNTBLANK(CB151)=1,ISERROR(CB151)),"",COUNT($CB$4:CB151))</f>
        <v/>
      </c>
      <c r="BZ151" s="7" t="e">
        <f t="shared" si="133"/>
        <v>#VALUE!</v>
      </c>
      <c r="CA151" s="1" t="str">
        <f t="shared" si="134"/>
        <v/>
      </c>
      <c r="CB151" s="79" t="e">
        <f>IF(IF(COUNTIF($CB$4:CB150,CB149)&gt;=MAX($D$4:$D$8),CB149+2,CB149)&gt;55,"",IF(COUNTIF($CB$4:CB150,CB149)&gt;=MAX($D$4:$D$8),CB149+2,CB149))</f>
        <v>#VALUE!</v>
      </c>
      <c r="CC151" s="1" t="e">
        <f t="shared" si="135"/>
        <v>#VALUE!</v>
      </c>
      <c r="CD151" s="8" t="str">
        <f t="shared" si="136"/>
        <v/>
      </c>
      <c r="CF151" s="71" t="e">
        <f t="shared" si="149"/>
        <v>#VALUE!</v>
      </c>
      <c r="CG151" s="71" t="str">
        <f>IF(OR(COUNTBLANK(CJ151)=1,ISERROR(CJ151)),"",COUNT($CJ$4:CJ151))</f>
        <v/>
      </c>
      <c r="CH151" s="7" t="e">
        <f t="shared" si="150"/>
        <v>#VALUE!</v>
      </c>
      <c r="CI151" s="1" t="str">
        <f t="shared" si="151"/>
        <v/>
      </c>
      <c r="CJ151" s="79" t="e">
        <f>IF(IF(COUNTIF($CJ$4:CJ150,CJ148)&gt;=MAX($D$4:$D$8),CJ148+3,CJ148)&gt;55,"",IF(COUNTIF($CJ$4:CJ150,CJ148)&gt;=MAX($D$4:$D$8),CJ148+3,CJ148))</f>
        <v>#VALUE!</v>
      </c>
      <c r="CK151" s="1" t="e">
        <f t="shared" si="137"/>
        <v>#VALUE!</v>
      </c>
      <c r="CL151" s="8" t="str">
        <f t="shared" si="152"/>
        <v/>
      </c>
      <c r="CN151" s="71" t="e">
        <f t="shared" si="143"/>
        <v>#VALUE!</v>
      </c>
      <c r="CO151" s="71" t="str">
        <f>IF(OR(COUNTBLANK(CR151)=1,ISERROR(CR151)),"",COUNT($CR$4:CR151))</f>
        <v/>
      </c>
      <c r="CP151" s="7" t="e">
        <f t="shared" si="144"/>
        <v>#VALUE!</v>
      </c>
      <c r="CQ151" s="1" t="str">
        <f t="shared" si="145"/>
        <v/>
      </c>
      <c r="CR151" s="79" t="e">
        <f>IF(IF(COUNTIF($CR$4:CR150,CR147)&gt;=MAX($D$4:$D$8),CR147+4,CR147)&gt;55,"",IF(COUNTIF($CR$4:CR150,CR147)&gt;=MAX($D$4:$D$8),CR147+4,CR147))</f>
        <v>#VALUE!</v>
      </c>
      <c r="CS151" s="1" t="e">
        <f t="shared" si="138"/>
        <v>#VALUE!</v>
      </c>
      <c r="CT151" s="8" t="str">
        <f t="shared" si="146"/>
        <v/>
      </c>
      <c r="CV151" s="71" t="e">
        <f t="shared" si="153"/>
        <v>#VALUE!</v>
      </c>
      <c r="CW151" s="71" t="str">
        <f>IF(OR(COUNTBLANK(CZ151)=1,ISERROR(CZ151)),"",COUNT($CZ$4:CZ151))</f>
        <v/>
      </c>
      <c r="CX151" s="7" t="e">
        <f t="shared" si="154"/>
        <v>#VALUE!</v>
      </c>
      <c r="CY151" s="1" t="str">
        <f t="shared" si="155"/>
        <v/>
      </c>
      <c r="CZ151" s="79" t="e">
        <f>IF(IF(COUNTIF($CZ$4:CZ150,CZ146)&gt;=MAX($D$4:$D$8),CZ146+5,CZ146)&gt;55,"",IF(COUNTIF($CZ$4:CZ150,CZ146)&gt;=MAX($D$4:$D$8),CZ146+5,CZ146))</f>
        <v>#VALUE!</v>
      </c>
      <c r="DA151" s="1" t="e">
        <f t="shared" si="139"/>
        <v>#VALUE!</v>
      </c>
      <c r="DB151" s="8" t="str">
        <f t="shared" si="156"/>
        <v/>
      </c>
    </row>
    <row r="152" spans="5:106" x14ac:dyDescent="0.15">
      <c r="E152" s="1">
        <v>149</v>
      </c>
      <c r="F152" s="1">
        <f t="shared" si="140"/>
        <v>1</v>
      </c>
      <c r="G152" s="1">
        <f t="shared" si="147"/>
        <v>1</v>
      </c>
      <c r="H152" s="1">
        <f t="shared" si="141"/>
        <v>1</v>
      </c>
      <c r="I152" s="1">
        <f t="shared" si="142"/>
        <v>1</v>
      </c>
      <c r="J152" s="1">
        <f t="shared" si="148"/>
        <v>1</v>
      </c>
      <c r="L152" s="1" t="str">
        <f>IF(ISERROR(HLOOKUP($C$10,$F$3:$J$253,150,0)),"",HLOOKUP($C$10,$F$3:$J$253,150,0))</f>
        <v/>
      </c>
      <c r="N152" s="67"/>
      <c r="W152" s="71" t="e">
        <f>IF(AA152="","",AA152*10+4)</f>
        <v>#VALUE!</v>
      </c>
      <c r="X152" s="71" t="str">
        <f>IF(OR(COUNTBLANK(AA152)=1,ISERROR(AA152)),"",COUNT(AA4:AA152))</f>
        <v/>
      </c>
      <c r="Y152" s="7" t="e">
        <f t="shared" si="113"/>
        <v>#VALUE!</v>
      </c>
      <c r="Z152" s="1" t="str">
        <f t="shared" si="127"/>
        <v/>
      </c>
      <c r="AA152" s="79" t="e">
        <f>IF(IF(COUNTIF(AA4:AA151,AA151)&gt;=MAX(D4:D8),AA151+1,AA151)&gt;50,"",IF(COUNTIF(AA4:AA151,AA151)&gt;=MAX(D4:D8),AA151+1,AA151))</f>
        <v>#VALUE!</v>
      </c>
      <c r="AB152" s="1" t="e">
        <f>IF(AA152="","",VLOOKUP(AA152,S4:U53,3,0))</f>
        <v>#VALUE!</v>
      </c>
      <c r="AC152" s="8" t="str">
        <f t="shared" si="114"/>
        <v/>
      </c>
      <c r="AE152" s="71" t="e">
        <f t="shared" si="115"/>
        <v>#VALUE!</v>
      </c>
      <c r="AF152" s="71" t="str">
        <f>IF(OR(COUNTBLANK(AI152)=1,ISERROR(AI152)),"",COUNT(AI4:AI152))</f>
        <v/>
      </c>
      <c r="AG152" s="7" t="e">
        <f t="shared" si="116"/>
        <v>#VALUE!</v>
      </c>
      <c r="AH152" s="1" t="str">
        <f>IF(ISERROR(INDEX(C4:C8,MATCH(G152,D4:D8,0))),"",INDEX(C4:C8,MATCH(G152,D4:D8,0)))</f>
        <v/>
      </c>
      <c r="AI152" s="79" t="e">
        <f>IF(IF(COUNTIF(AI4:AI151,AI150)&gt;=MAX(D4:D8),AI150+2,AI150)&gt;50,"",IF(COUNTIF(AI4:AI151,AI150)&gt;=MAX(D4:D8),AI150+2,AI150))</f>
        <v>#VALUE!</v>
      </c>
      <c r="AJ152" s="1" t="e">
        <f>IF(AI152="","",VLOOKUP(AI152,S4:U53,3,0))</f>
        <v>#VALUE!</v>
      </c>
      <c r="AK152" s="8" t="str">
        <f t="shared" si="117"/>
        <v/>
      </c>
      <c r="AM152" s="71" t="e">
        <f t="shared" si="118"/>
        <v>#VALUE!</v>
      </c>
      <c r="AN152" s="71" t="str">
        <f>IF(OR(COUNTBLANK(AQ152)=1,ISERROR(AQ152)),"",COUNT(AQ4:AQ152))</f>
        <v/>
      </c>
      <c r="AO152" s="7" t="e">
        <f t="shared" si="119"/>
        <v>#VALUE!</v>
      </c>
      <c r="AP152" s="1" t="str">
        <f>IF(ISERROR(INDEX(C4:C8,MATCH(H152,D4:D8,0))),"",INDEX(C4:C8,MATCH(H152,D4:D8,0)))</f>
        <v/>
      </c>
      <c r="AQ152" s="79" t="e">
        <f>IF(IF(COUNTIF(AQ4:AQ151,AQ149)&gt;=MAX(D4:D8),AQ149+3,AQ149)&gt;50,"",IF(COUNTIF(AQ4:AQ151,AQ149)&gt;=MAX(D4:D8),AQ149+3,AQ149))</f>
        <v>#VALUE!</v>
      </c>
      <c r="AR152" s="1" t="e">
        <f>IF(AQ152="","",VLOOKUP(AQ152,S4:U53,3,0))</f>
        <v>#VALUE!</v>
      </c>
      <c r="AS152" s="8" t="str">
        <f t="shared" si="120"/>
        <v/>
      </c>
      <c r="AU152" s="71" t="e">
        <f t="shared" si="121"/>
        <v>#VALUE!</v>
      </c>
      <c r="AV152" s="71" t="str">
        <f>IF(OR(COUNTBLANK(AY152)=1,ISERROR(AY152)),"",COUNT(AY4:AY152))</f>
        <v/>
      </c>
      <c r="AW152" s="7" t="e">
        <f t="shared" si="122"/>
        <v>#VALUE!</v>
      </c>
      <c r="AX152" s="1" t="str">
        <f>IF(ISERROR(INDEX(C4:C8,MATCH(I152,D4:D8,0))),"",INDEX(C4:C8,MATCH(I152,D4:D8,0)))</f>
        <v/>
      </c>
      <c r="AY152" s="79" t="e">
        <f>IF(IF(COUNTIF(AY4:AY151,AY148)&gt;=MAX(D4:D8),AY148+4,AY148)&gt;50,"",IF(COUNTIF(AY4:AY151,AY148)&gt;=MAX(D4:D8),AY148+4,AY148))</f>
        <v>#VALUE!</v>
      </c>
      <c r="AZ152" s="76" t="e">
        <f>IF(AY152="","",VLOOKUP(AY152,S4:U53,3,0))</f>
        <v>#VALUE!</v>
      </c>
      <c r="BA152" s="8" t="str">
        <f t="shared" si="123"/>
        <v/>
      </c>
      <c r="BC152" s="71" t="e">
        <f t="shared" si="124"/>
        <v>#VALUE!</v>
      </c>
      <c r="BD152" s="71" t="str">
        <f>IF(OR(COUNTBLANK(BG152)=1,ISERROR(BG152)),"",COUNT(BG4:BG152))</f>
        <v/>
      </c>
      <c r="BE152" s="7" t="e">
        <f t="shared" si="125"/>
        <v>#VALUE!</v>
      </c>
      <c r="BF152" s="1" t="str">
        <f>IF(ISERROR(INDEX(C4:C8,MATCH(J152,D4:D8,0))),"",INDEX(C4:C8,MATCH(J152,D4:D8,0)))</f>
        <v/>
      </c>
      <c r="BG152" s="79" t="e">
        <f>IF(IF(COUNTIF(BG4:BG151,BG147)&gt;=MAX(D4:D8),BG147+5,BG147)&gt;50,"",IF(COUNTIF(BG4:BG151,BG147)&gt;=MAX(D4:D8),BG147+5,BG147))</f>
        <v>#VALUE!</v>
      </c>
      <c r="BH152" s="76" t="e">
        <f>IF(BG152="","",VLOOKUP(BG152,S4:U53,3,0))</f>
        <v>#VALUE!</v>
      </c>
      <c r="BI152" s="8" t="str">
        <f t="shared" si="126"/>
        <v/>
      </c>
      <c r="BP152" s="71" t="e">
        <f>IF(BT152="","",BT152*10+4)</f>
        <v>#VALUE!</v>
      </c>
      <c r="BQ152" s="71" t="str">
        <f>IF(OR(COUNTBLANK(BT152)=1,ISERROR(BT152)),"",COUNT(BT4:BT152))</f>
        <v/>
      </c>
      <c r="BR152" s="7" t="e">
        <f t="shared" si="128"/>
        <v>#VALUE!</v>
      </c>
      <c r="BS152" s="1" t="str">
        <f t="shared" si="129"/>
        <v/>
      </c>
      <c r="BT152" s="79" t="e">
        <f>IF(IF(COUNTIF($BT$4:BT151,BT151)&gt;=MAX($D$4:$D$8),BT151+1,BT151)&gt;55,"",IF(COUNTIF($BT$4:BT151,BT151)&gt;=MAX($D$4:$D$8),BT151+1,BT151))</f>
        <v>#VALUE!</v>
      </c>
      <c r="BU152" s="1" t="e">
        <f t="shared" si="130"/>
        <v>#VALUE!</v>
      </c>
      <c r="BV152" s="8" t="str">
        <f t="shared" si="131"/>
        <v/>
      </c>
      <c r="BX152" s="71" t="e">
        <f t="shared" si="132"/>
        <v>#VALUE!</v>
      </c>
      <c r="BY152" s="71" t="str">
        <f>IF(OR(COUNTBLANK(CB152)=1,ISERROR(CB152)),"",COUNT($CB$4:CB152))</f>
        <v/>
      </c>
      <c r="BZ152" s="7" t="e">
        <f t="shared" si="133"/>
        <v>#VALUE!</v>
      </c>
      <c r="CA152" s="1" t="str">
        <f t="shared" si="134"/>
        <v/>
      </c>
      <c r="CB152" s="79" t="e">
        <f>IF(IF(COUNTIF($CB$4:CB151,CB150)&gt;=MAX($D$4:$D$8),CB150+2,CB150)&gt;55,"",IF(COUNTIF($CB$4:CB151,CB150)&gt;=MAX($D$4:$D$8),CB150+2,CB150))</f>
        <v>#VALUE!</v>
      </c>
      <c r="CC152" s="1" t="e">
        <f t="shared" si="135"/>
        <v>#VALUE!</v>
      </c>
      <c r="CD152" s="8" t="str">
        <f t="shared" si="136"/>
        <v/>
      </c>
      <c r="CF152" s="71" t="e">
        <f t="shared" si="149"/>
        <v>#VALUE!</v>
      </c>
      <c r="CG152" s="71" t="str">
        <f>IF(OR(COUNTBLANK(CJ152)=1,ISERROR(CJ152)),"",COUNT($CJ$4:CJ152))</f>
        <v/>
      </c>
      <c r="CH152" s="7" t="e">
        <f t="shared" si="150"/>
        <v>#VALUE!</v>
      </c>
      <c r="CI152" s="1" t="str">
        <f t="shared" si="151"/>
        <v/>
      </c>
      <c r="CJ152" s="79" t="e">
        <f>IF(IF(COUNTIF($CJ$4:CJ151,CJ149)&gt;=MAX($D$4:$D$8),CJ149+3,CJ149)&gt;55,"",IF(COUNTIF($CJ$4:CJ151,CJ149)&gt;=MAX($D$4:$D$8),CJ149+3,CJ149))</f>
        <v>#VALUE!</v>
      </c>
      <c r="CK152" s="1" t="e">
        <f t="shared" si="137"/>
        <v>#VALUE!</v>
      </c>
      <c r="CL152" s="8" t="str">
        <f t="shared" si="152"/>
        <v/>
      </c>
      <c r="CN152" s="71" t="e">
        <f t="shared" si="143"/>
        <v>#VALUE!</v>
      </c>
      <c r="CO152" s="71" t="str">
        <f>IF(OR(COUNTBLANK(CR152)=1,ISERROR(CR152)),"",COUNT($CR$4:CR152))</f>
        <v/>
      </c>
      <c r="CP152" s="7" t="e">
        <f t="shared" si="144"/>
        <v>#VALUE!</v>
      </c>
      <c r="CQ152" s="1" t="str">
        <f t="shared" si="145"/>
        <v/>
      </c>
      <c r="CR152" s="79" t="e">
        <f>IF(IF(COUNTIF($CR$4:CR151,CR148)&gt;=MAX($D$4:$D$8),CR148+4,CR148)&gt;55,"",IF(COUNTIF($CR$4:CR151,CR148)&gt;=MAX($D$4:$D$8),CR148+4,CR148))</f>
        <v>#VALUE!</v>
      </c>
      <c r="CS152" s="1" t="e">
        <f t="shared" si="138"/>
        <v>#VALUE!</v>
      </c>
      <c r="CT152" s="8" t="str">
        <f t="shared" si="146"/>
        <v/>
      </c>
      <c r="CV152" s="71" t="e">
        <f t="shared" si="153"/>
        <v>#VALUE!</v>
      </c>
      <c r="CW152" s="71" t="str">
        <f>IF(OR(COUNTBLANK(CZ152)=1,ISERROR(CZ152)),"",COUNT($CZ$4:CZ152))</f>
        <v/>
      </c>
      <c r="CX152" s="7" t="e">
        <f t="shared" si="154"/>
        <v>#VALUE!</v>
      </c>
      <c r="CY152" s="1" t="str">
        <f t="shared" si="155"/>
        <v/>
      </c>
      <c r="CZ152" s="79" t="e">
        <f>IF(IF(COUNTIF($CZ$4:CZ151,CZ147)&gt;=MAX($D$4:$D$8),CZ147+5,CZ147)&gt;55,"",IF(COUNTIF($CZ$4:CZ151,CZ147)&gt;=MAX($D$4:$D$8),CZ147+5,CZ147))</f>
        <v>#VALUE!</v>
      </c>
      <c r="DA152" s="1" t="e">
        <f t="shared" si="139"/>
        <v>#VALUE!</v>
      </c>
      <c r="DB152" s="8" t="str">
        <f t="shared" si="156"/>
        <v/>
      </c>
    </row>
    <row r="153" spans="5:106" x14ac:dyDescent="0.15">
      <c r="E153" s="1">
        <v>150</v>
      </c>
      <c r="F153" s="1">
        <f t="shared" si="140"/>
        <v>1</v>
      </c>
      <c r="G153" s="1">
        <f t="shared" si="147"/>
        <v>1</v>
      </c>
      <c r="H153" s="1">
        <f t="shared" si="141"/>
        <v>1</v>
      </c>
      <c r="I153" s="1">
        <f t="shared" si="142"/>
        <v>1</v>
      </c>
      <c r="J153" s="1">
        <f t="shared" si="148"/>
        <v>1</v>
      </c>
      <c r="L153" s="1" t="str">
        <f>IF(ISERROR(HLOOKUP($C$10,$F$3:$J$253,151,0)),"",HLOOKUP($C$10,$F$3:$J$253,151,0))</f>
        <v/>
      </c>
      <c r="N153" s="67"/>
      <c r="W153" s="71" t="e">
        <f>IF(AA153="","",AA153*10+5)</f>
        <v>#VALUE!</v>
      </c>
      <c r="X153" s="71" t="str">
        <f>IF(OR(COUNTBLANK(AA153)=1,ISERROR(AA153)),"",COUNT(AA4:AA153))</f>
        <v/>
      </c>
      <c r="Y153" s="7" t="e">
        <f t="shared" si="113"/>
        <v>#VALUE!</v>
      </c>
      <c r="Z153" s="1" t="str">
        <f t="shared" si="127"/>
        <v/>
      </c>
      <c r="AA153" s="79" t="e">
        <f>IF(IF(COUNTIF(AA4:AA152,AA152)&gt;=MAX(D4:D8),AA152+1,AA152)&gt;50,"",IF(COUNTIF(AA4:AA152,AA152)&gt;=MAX(D4:D8),AA152+1,AA152))</f>
        <v>#VALUE!</v>
      </c>
      <c r="AB153" s="1" t="e">
        <f>IF(AA153="","",VLOOKUP(AA153,S4:U53,3,0))</f>
        <v>#VALUE!</v>
      </c>
      <c r="AC153" s="8" t="str">
        <f t="shared" si="114"/>
        <v/>
      </c>
      <c r="AE153" s="71" t="e">
        <f t="shared" si="115"/>
        <v>#VALUE!</v>
      </c>
      <c r="AF153" s="71" t="str">
        <f>IF(OR(COUNTBLANK(AI153)=1,ISERROR(AI153)),"",COUNT(AI4:AI153))</f>
        <v/>
      </c>
      <c r="AG153" s="7" t="e">
        <f t="shared" si="116"/>
        <v>#VALUE!</v>
      </c>
      <c r="AH153" s="1" t="str">
        <f>IF(ISERROR(INDEX(C4:C8,MATCH(G153,D4:D8,0))),"",INDEX(C4:C8,MATCH(G153,D4:D8,0)))</f>
        <v/>
      </c>
      <c r="AI153" s="79" t="e">
        <f>IF(IF(COUNTIF(AI4:AI151,AI151)&gt;=MAX(D4:D8),AI151+2,AI151)&gt;50,"",IF(COUNTIF(AI4:AI151,AI151)&gt;=MAX(D4:D8),AI151+2,AI151))</f>
        <v>#VALUE!</v>
      </c>
      <c r="AJ153" s="1" t="e">
        <f>IF(AI153="","",VLOOKUP(AI153,S4:U53,3,0))</f>
        <v>#VALUE!</v>
      </c>
      <c r="AK153" s="8" t="str">
        <f t="shared" si="117"/>
        <v/>
      </c>
      <c r="AM153" s="71" t="e">
        <f t="shared" si="118"/>
        <v>#VALUE!</v>
      </c>
      <c r="AN153" s="71" t="str">
        <f>IF(OR(COUNTBLANK(AQ153)=1,ISERROR(AQ153)),"",COUNT(AQ4:AQ153))</f>
        <v/>
      </c>
      <c r="AO153" s="7" t="e">
        <f t="shared" si="119"/>
        <v>#VALUE!</v>
      </c>
      <c r="AP153" s="1" t="str">
        <f>IF(ISERROR(INDEX(C4:C8,MATCH(H153,D4:D8,0))),"",INDEX(C4:C8,MATCH(H153,D4:D8,0)))</f>
        <v/>
      </c>
      <c r="AQ153" s="79" t="e">
        <f>IF(IF(COUNTIF(AQ4:AQ152,AQ150)&gt;=MAX(D4:D8),AQ150+3,AQ150)&gt;50,"",IF(COUNTIF(AQ4:AQ152,AQ150)&gt;=MAX(D4:D8),AQ150+3,AQ150))</f>
        <v>#VALUE!</v>
      </c>
      <c r="AR153" s="1" t="e">
        <f>IF(AQ153="","",VLOOKUP(AQ153,S4:U53,3,0))</f>
        <v>#VALUE!</v>
      </c>
      <c r="AS153" s="8" t="str">
        <f t="shared" si="120"/>
        <v/>
      </c>
      <c r="AU153" s="71" t="e">
        <f t="shared" si="121"/>
        <v>#VALUE!</v>
      </c>
      <c r="AV153" s="71" t="str">
        <f>IF(OR(COUNTBLANK(AY153)=1,ISERROR(AY153)),"",COUNT(AY4:AY153))</f>
        <v/>
      </c>
      <c r="AW153" s="7" t="e">
        <f t="shared" si="122"/>
        <v>#VALUE!</v>
      </c>
      <c r="AX153" s="1" t="str">
        <f>IF(ISERROR(INDEX(C4:C8,MATCH(I153,D4:D8,0))),"",INDEX(C4:C8,MATCH(I153,D4:D8,0)))</f>
        <v/>
      </c>
      <c r="AY153" s="79" t="e">
        <f>IF(IF(COUNTIF(AY4:AY152,AY149)&gt;=MAX(D4:D8),AY149+4,AY149)&gt;50,"",IF(COUNTIF(AY4:AY152,AY149)&gt;=MAX(D4:D8),AY149+4,AY149))</f>
        <v>#VALUE!</v>
      </c>
      <c r="AZ153" s="76" t="e">
        <f>IF(AY153="","",VLOOKUP(AY153,S4:U53,3,0))</f>
        <v>#VALUE!</v>
      </c>
      <c r="BA153" s="8" t="str">
        <f t="shared" si="123"/>
        <v/>
      </c>
      <c r="BC153" s="71" t="e">
        <f t="shared" si="124"/>
        <v>#VALUE!</v>
      </c>
      <c r="BD153" s="71" t="str">
        <f>IF(OR(COUNTBLANK(BG153)=1,ISERROR(BG153)),"",COUNT(BG4:BG153))</f>
        <v/>
      </c>
      <c r="BE153" s="7" t="e">
        <f t="shared" si="125"/>
        <v>#VALUE!</v>
      </c>
      <c r="BF153" s="1" t="str">
        <f>IF(ISERROR(INDEX(C4:C8,MATCH(J153,D4:D8,0))),"",INDEX(C4:C8,MATCH(J153,D4:D8,0)))</f>
        <v/>
      </c>
      <c r="BG153" s="79" t="e">
        <f>IF(IF(COUNTIF(BG4:BG152,BG148)&gt;=MAX(D4:D8),BG148+5,BG148)&gt;50,"",IF(COUNTIF(BG4:BG152,BG148)&gt;=MAX(D4:D8),BG148+5,BG148))</f>
        <v>#VALUE!</v>
      </c>
      <c r="BH153" s="76" t="e">
        <f>IF(BG153="","",VLOOKUP(BG153,S4:U53,3,0))</f>
        <v>#VALUE!</v>
      </c>
      <c r="BI153" s="8" t="str">
        <f t="shared" si="126"/>
        <v/>
      </c>
      <c r="BP153" s="71" t="e">
        <f>IF(BT153="","",BT153*10+5)</f>
        <v>#VALUE!</v>
      </c>
      <c r="BQ153" s="71" t="str">
        <f>IF(OR(COUNTBLANK(BT153)=1,ISERROR(BT153)),"",COUNT(BT4:BT153))</f>
        <v/>
      </c>
      <c r="BR153" s="7" t="e">
        <f t="shared" si="128"/>
        <v>#VALUE!</v>
      </c>
      <c r="BS153" s="1" t="str">
        <f t="shared" si="129"/>
        <v/>
      </c>
      <c r="BT153" s="79" t="e">
        <f>IF(IF(COUNTIF($BT$4:BT152,BT152)&gt;=MAX($D$4:$D$8),BT152+1,BT152)&gt;55,"",IF(COUNTIF($BT$4:BT152,BT152)&gt;=MAX($D$4:$D$8),BT152+1,BT152))</f>
        <v>#VALUE!</v>
      </c>
      <c r="BU153" s="1" t="e">
        <f t="shared" si="130"/>
        <v>#VALUE!</v>
      </c>
      <c r="BV153" s="8" t="str">
        <f t="shared" si="131"/>
        <v/>
      </c>
      <c r="BX153" s="71" t="e">
        <f t="shared" si="132"/>
        <v>#VALUE!</v>
      </c>
      <c r="BY153" s="71" t="str">
        <f>IF(OR(COUNTBLANK(CB153)=1,ISERROR(CB153)),"",COUNT($CB$4:CB153))</f>
        <v/>
      </c>
      <c r="BZ153" s="7" t="e">
        <f t="shared" si="133"/>
        <v>#VALUE!</v>
      </c>
      <c r="CA153" s="1" t="str">
        <f t="shared" si="134"/>
        <v/>
      </c>
      <c r="CB153" s="79" t="e">
        <f>IF(IF(COUNTIF($CB$4:CB152,CB151)&gt;=MAX($D$4:$D$8),CB151+2,CB151)&gt;55,"",IF(COUNTIF($CB$4:CB152,CB151)&gt;=MAX($D$4:$D$8),CB151+2,CB151))</f>
        <v>#VALUE!</v>
      </c>
      <c r="CC153" s="1" t="e">
        <f t="shared" si="135"/>
        <v>#VALUE!</v>
      </c>
      <c r="CD153" s="8" t="str">
        <f t="shared" si="136"/>
        <v/>
      </c>
      <c r="CF153" s="71" t="e">
        <f t="shared" si="149"/>
        <v>#VALUE!</v>
      </c>
      <c r="CG153" s="71" t="str">
        <f>IF(OR(COUNTBLANK(CJ153)=1,ISERROR(CJ153)),"",COUNT($CJ$4:CJ153))</f>
        <v/>
      </c>
      <c r="CH153" s="7" t="e">
        <f t="shared" si="150"/>
        <v>#VALUE!</v>
      </c>
      <c r="CI153" s="1" t="str">
        <f t="shared" si="151"/>
        <v/>
      </c>
      <c r="CJ153" s="79" t="e">
        <f>IF(IF(COUNTIF($CJ$4:CJ152,CJ150)&gt;=MAX($D$4:$D$8),CJ150+3,CJ150)&gt;55,"",IF(COUNTIF($CJ$4:CJ152,CJ150)&gt;=MAX($D$4:$D$8),CJ150+3,CJ150))</f>
        <v>#VALUE!</v>
      </c>
      <c r="CK153" s="1" t="e">
        <f t="shared" si="137"/>
        <v>#VALUE!</v>
      </c>
      <c r="CL153" s="8" t="str">
        <f t="shared" si="152"/>
        <v/>
      </c>
      <c r="CN153" s="71" t="e">
        <f t="shared" si="143"/>
        <v>#VALUE!</v>
      </c>
      <c r="CO153" s="71" t="str">
        <f>IF(OR(COUNTBLANK(CR153)=1,ISERROR(CR153)),"",COUNT($CR$4:CR153))</f>
        <v/>
      </c>
      <c r="CP153" s="7" t="e">
        <f t="shared" si="144"/>
        <v>#VALUE!</v>
      </c>
      <c r="CQ153" s="1" t="str">
        <f t="shared" si="145"/>
        <v/>
      </c>
      <c r="CR153" s="79" t="e">
        <f>IF(IF(COUNTIF($CR$4:CR152,CR149)&gt;=MAX($D$4:$D$8),CR149+4,CR149)&gt;55,"",IF(COUNTIF($CR$4:CR152,CR149)&gt;=MAX($D$4:$D$8),CR149+4,CR149))</f>
        <v>#VALUE!</v>
      </c>
      <c r="CS153" s="1" t="e">
        <f t="shared" si="138"/>
        <v>#VALUE!</v>
      </c>
      <c r="CT153" s="8" t="str">
        <f t="shared" si="146"/>
        <v/>
      </c>
      <c r="CV153" s="71" t="e">
        <f t="shared" si="153"/>
        <v>#VALUE!</v>
      </c>
      <c r="CW153" s="71" t="str">
        <f>IF(OR(COUNTBLANK(CZ153)=1,ISERROR(CZ153)),"",COUNT($CZ$4:CZ153))</f>
        <v/>
      </c>
      <c r="CX153" s="7" t="e">
        <f t="shared" si="154"/>
        <v>#VALUE!</v>
      </c>
      <c r="CY153" s="1" t="str">
        <f t="shared" si="155"/>
        <v/>
      </c>
      <c r="CZ153" s="79" t="e">
        <f>IF(IF(COUNTIF($CZ$4:CZ152,CZ148)&gt;=MAX($D$4:$D$8),CZ148+5,CZ148)&gt;55,"",IF(COUNTIF($CZ$4:CZ152,CZ148)&gt;=MAX($D$4:$D$8),CZ148+5,CZ148))</f>
        <v>#VALUE!</v>
      </c>
      <c r="DA153" s="1" t="e">
        <f t="shared" si="139"/>
        <v>#VALUE!</v>
      </c>
      <c r="DB153" s="8" t="str">
        <f t="shared" si="156"/>
        <v/>
      </c>
    </row>
    <row r="154" spans="5:106" x14ac:dyDescent="0.15">
      <c r="E154" s="1">
        <v>151</v>
      </c>
      <c r="F154" s="1">
        <f t="shared" si="140"/>
        <v>1</v>
      </c>
      <c r="G154" s="1">
        <f t="shared" si="147"/>
        <v>1</v>
      </c>
      <c r="H154" s="1">
        <f t="shared" si="141"/>
        <v>1</v>
      </c>
      <c r="I154" s="1">
        <f t="shared" si="142"/>
        <v>1</v>
      </c>
      <c r="J154" s="1">
        <f t="shared" si="148"/>
        <v>1</v>
      </c>
      <c r="L154" s="1" t="str">
        <f>IF(ISERROR(HLOOKUP($C$10,$F$3:$J$253,152,0)),"",HLOOKUP($C$10,$F$3:$J$253,152,0))</f>
        <v/>
      </c>
      <c r="N154" s="67"/>
      <c r="W154" s="71" t="e">
        <f>IF(AA154="","",AA154*10+1)</f>
        <v>#VALUE!</v>
      </c>
      <c r="X154" s="71" t="str">
        <f>IF(OR(COUNTBLANK(AA154)=1,ISERROR(AA154)),"",COUNT(AA4:AA154))</f>
        <v/>
      </c>
      <c r="Y154" s="7" t="e">
        <f t="shared" si="113"/>
        <v>#VALUE!</v>
      </c>
      <c r="Z154" s="1" t="str">
        <f t="shared" si="127"/>
        <v/>
      </c>
      <c r="AA154" s="79" t="e">
        <f>IF(IF(COUNTIF(AA4:AA153,AA153)&gt;=MAX(D4:D8),AA153+1,AA153)&gt;50,"",IF(COUNTIF(AA4:AA153,AA153)&gt;=MAX(D4:D8),AA153+1,AA153))</f>
        <v>#VALUE!</v>
      </c>
      <c r="AB154" s="1" t="e">
        <f>IF(AA154="","",VLOOKUP(AA154,S4:U53,3,0))</f>
        <v>#VALUE!</v>
      </c>
      <c r="AC154" s="8" t="str">
        <f t="shared" si="114"/>
        <v/>
      </c>
      <c r="AE154" s="71" t="e">
        <f t="shared" si="115"/>
        <v>#VALUE!</v>
      </c>
      <c r="AF154" s="71" t="str">
        <f>IF(OR(COUNTBLANK(AI154)=1,ISERROR(AI154)),"",COUNT(AI4:AI154))</f>
        <v/>
      </c>
      <c r="AG154" s="7" t="e">
        <f t="shared" si="116"/>
        <v>#VALUE!</v>
      </c>
      <c r="AH154" s="1" t="str">
        <f>IF(ISERROR(INDEX(C4:C8,MATCH(G154,D4:D8,0))),"",INDEX(C4:C8,MATCH(G154,D4:D8,0)))</f>
        <v/>
      </c>
      <c r="AI154" s="79" t="e">
        <f>IF(IF(COUNTIF(AI4:AI153,AI152)&gt;=MAX(D4:D8),AI152+2,AI152)&gt;50,"",IF(COUNTIF(AI4:AI153,AI152)&gt;=MAX(D4:D8),AI152+2,AI152))</f>
        <v>#VALUE!</v>
      </c>
      <c r="AJ154" s="1" t="e">
        <f>IF(AI154="","",VLOOKUP(AI154,S4:U53,3,0))</f>
        <v>#VALUE!</v>
      </c>
      <c r="AK154" s="8" t="str">
        <f t="shared" si="117"/>
        <v/>
      </c>
      <c r="AM154" s="71" t="e">
        <f t="shared" si="118"/>
        <v>#VALUE!</v>
      </c>
      <c r="AN154" s="71" t="str">
        <f>IF(OR(COUNTBLANK(AQ154)=1,ISERROR(AQ154)),"",COUNT(AQ4:AQ154))</f>
        <v/>
      </c>
      <c r="AO154" s="7" t="e">
        <f t="shared" si="119"/>
        <v>#VALUE!</v>
      </c>
      <c r="AP154" s="1" t="str">
        <f>IF(ISERROR(INDEX(C4:C8,MATCH(H154,D4:D8,0))),"",INDEX(C4:C8,MATCH(H154,D4:D8,0)))</f>
        <v/>
      </c>
      <c r="AQ154" s="79" t="e">
        <f>IF(IF(COUNTIF(AQ4:AQ153,AQ151)&gt;=MAX(D4:D8),AQ151+3,AQ151)&gt;50,"",IF(COUNTIF(AQ4:AQ153,AQ151)&gt;=MAX(D4:D8),AQ151+3,AQ151))</f>
        <v>#VALUE!</v>
      </c>
      <c r="AR154" s="1" t="e">
        <f>IF(AQ154="","",VLOOKUP(AQ154,S4:U53,3,0))</f>
        <v>#VALUE!</v>
      </c>
      <c r="AS154" s="8" t="str">
        <f t="shared" si="120"/>
        <v/>
      </c>
      <c r="AU154" s="71" t="e">
        <f t="shared" si="121"/>
        <v>#VALUE!</v>
      </c>
      <c r="AV154" s="71" t="str">
        <f>IF(OR(COUNTBLANK(AY154)=1,ISERROR(AY154)),"",COUNT(AY4:AY154))</f>
        <v/>
      </c>
      <c r="AW154" s="7" t="e">
        <f t="shared" si="122"/>
        <v>#VALUE!</v>
      </c>
      <c r="AX154" s="1" t="str">
        <f>IF(ISERROR(INDEX(C4:C8,MATCH(I154,D4:D8,0))),"",INDEX(C4:C8,MATCH(I154,D4:D8,0)))</f>
        <v/>
      </c>
      <c r="AY154" s="79" t="e">
        <f>IF(IF(COUNTIF(AY4:AY153,AY150)&gt;=MAX(D4:D8),AY150+4,AY150)&gt;50,"",IF(COUNTIF(AY4:AY153,AY150)&gt;=MAX(D4:D8),AY150+4,AY150))</f>
        <v>#VALUE!</v>
      </c>
      <c r="AZ154" s="76" t="e">
        <f>IF(AY154="","",VLOOKUP(AY154,S4:U53,3,0))</f>
        <v>#VALUE!</v>
      </c>
      <c r="BA154" s="8" t="str">
        <f t="shared" si="123"/>
        <v/>
      </c>
      <c r="BC154" s="71" t="e">
        <f t="shared" si="124"/>
        <v>#VALUE!</v>
      </c>
      <c r="BD154" s="71" t="str">
        <f>IF(OR(COUNTBLANK(BG154)=1,ISERROR(BG154)),"",COUNT(BG4:BG154))</f>
        <v/>
      </c>
      <c r="BE154" s="7" t="e">
        <f t="shared" si="125"/>
        <v>#VALUE!</v>
      </c>
      <c r="BF154" s="1" t="str">
        <f>IF(ISERROR(INDEX(C4:C8,MATCH(J154,D4:D8,0))),"",INDEX(C4:C8,MATCH(J154,D4:D8,0)))</f>
        <v/>
      </c>
      <c r="BG154" s="79" t="e">
        <f>IF(IF(COUNTIF(BG4:BG153,BG149)&gt;=MAX(D4:D8),BG149+5,BG149)&gt;50,"",IF(COUNTIF(BG4:BG153,BG149)&gt;=MAX(D4:D8),BG149+5,BG149))</f>
        <v>#VALUE!</v>
      </c>
      <c r="BH154" s="76" t="e">
        <f>IF(BG154="","",VLOOKUP(BG154,S4:U53,3,0))</f>
        <v>#VALUE!</v>
      </c>
      <c r="BI154" s="8" t="str">
        <f t="shared" si="126"/>
        <v/>
      </c>
      <c r="BP154" s="71" t="e">
        <f>IF(BT154="","",BT154*10+1)</f>
        <v>#VALUE!</v>
      </c>
      <c r="BQ154" s="71" t="str">
        <f>IF(OR(COUNTBLANK(BT154)=1,ISERROR(BT154)),"",COUNT(BT4:BT154))</f>
        <v/>
      </c>
      <c r="BR154" s="7" t="e">
        <f t="shared" si="128"/>
        <v>#VALUE!</v>
      </c>
      <c r="BS154" s="1" t="str">
        <f t="shared" si="129"/>
        <v/>
      </c>
      <c r="BT154" s="79" t="e">
        <f>IF(IF(COUNTIF($BT$4:BT153,BT153)&gt;=MAX($D$4:$D$8),BT153+1,BT153)&gt;55,"",IF(COUNTIF($BT$4:BT153,BT153)&gt;=MAX($D$4:$D$8),BT153+1,BT153))</f>
        <v>#VALUE!</v>
      </c>
      <c r="BU154" s="1" t="e">
        <f t="shared" si="130"/>
        <v>#VALUE!</v>
      </c>
      <c r="BV154" s="8" t="str">
        <f t="shared" si="131"/>
        <v/>
      </c>
      <c r="BX154" s="71" t="e">
        <f t="shared" si="132"/>
        <v>#VALUE!</v>
      </c>
      <c r="BY154" s="71" t="str">
        <f>IF(OR(COUNTBLANK(CB154)=1,ISERROR(CB154)),"",COUNT($CB$4:CB154))</f>
        <v/>
      </c>
      <c r="BZ154" s="7" t="e">
        <f t="shared" si="133"/>
        <v>#VALUE!</v>
      </c>
      <c r="CA154" s="1" t="str">
        <f t="shared" si="134"/>
        <v/>
      </c>
      <c r="CB154" s="79" t="e">
        <f>IF(IF(COUNTIF($CB$4:CB153,CB152)&gt;=MAX($D$4:$D$8),CB152+2,CB152)&gt;55,"",IF(COUNTIF($CB$4:CB153,CB152)&gt;=MAX($D$4:$D$8),CB152+2,CB152))</f>
        <v>#VALUE!</v>
      </c>
      <c r="CC154" s="1" t="e">
        <f t="shared" si="135"/>
        <v>#VALUE!</v>
      </c>
      <c r="CD154" s="8" t="str">
        <f t="shared" si="136"/>
        <v/>
      </c>
      <c r="CF154" s="71" t="e">
        <f t="shared" si="149"/>
        <v>#VALUE!</v>
      </c>
      <c r="CG154" s="71" t="str">
        <f>IF(OR(COUNTBLANK(CJ154)=1,ISERROR(CJ154)),"",COUNT($CJ$4:CJ154))</f>
        <v/>
      </c>
      <c r="CH154" s="7" t="e">
        <f t="shared" si="150"/>
        <v>#VALUE!</v>
      </c>
      <c r="CI154" s="1" t="str">
        <f t="shared" si="151"/>
        <v/>
      </c>
      <c r="CJ154" s="79" t="e">
        <f>IF(IF(COUNTIF($CJ$4:CJ153,CJ151)&gt;=MAX($D$4:$D$8),CJ151+3,CJ151)&gt;55,"",IF(COUNTIF($CJ$4:CJ153,CJ151)&gt;=MAX($D$4:$D$8),CJ151+3,CJ151))</f>
        <v>#VALUE!</v>
      </c>
      <c r="CK154" s="1" t="e">
        <f t="shared" si="137"/>
        <v>#VALUE!</v>
      </c>
      <c r="CL154" s="8" t="str">
        <f t="shared" si="152"/>
        <v/>
      </c>
      <c r="CN154" s="71" t="e">
        <f t="shared" si="143"/>
        <v>#VALUE!</v>
      </c>
      <c r="CO154" s="71" t="str">
        <f>IF(OR(COUNTBLANK(CR154)=1,ISERROR(CR154)),"",COUNT($CR$4:CR154))</f>
        <v/>
      </c>
      <c r="CP154" s="7" t="e">
        <f t="shared" si="144"/>
        <v>#VALUE!</v>
      </c>
      <c r="CQ154" s="1" t="str">
        <f t="shared" si="145"/>
        <v/>
      </c>
      <c r="CR154" s="79" t="e">
        <f>IF(IF(COUNTIF($CR$4:CR153,CR150)&gt;=MAX($D$4:$D$8),CR150+4,CR150)&gt;55,"",IF(COUNTIF($CR$4:CR153,CR150)&gt;=MAX($D$4:$D$8),CR150+4,CR150))</f>
        <v>#VALUE!</v>
      </c>
      <c r="CS154" s="1" t="e">
        <f t="shared" si="138"/>
        <v>#VALUE!</v>
      </c>
      <c r="CT154" s="8" t="str">
        <f t="shared" si="146"/>
        <v/>
      </c>
      <c r="CV154" s="71" t="e">
        <f t="shared" si="153"/>
        <v>#VALUE!</v>
      </c>
      <c r="CW154" s="71" t="str">
        <f>IF(OR(COUNTBLANK(CZ154)=1,ISERROR(CZ154)),"",COUNT($CZ$4:CZ154))</f>
        <v/>
      </c>
      <c r="CX154" s="7" t="e">
        <f t="shared" si="154"/>
        <v>#VALUE!</v>
      </c>
      <c r="CY154" s="1" t="str">
        <f t="shared" si="155"/>
        <v/>
      </c>
      <c r="CZ154" s="79" t="e">
        <f>IF(IF(COUNTIF($CZ$4:CZ153,CZ149)&gt;=MAX($D$4:$D$8),CZ149+5,CZ149)&gt;55,"",IF(COUNTIF($CZ$4:CZ153,CZ149)&gt;=MAX($D$4:$D$8),CZ149+5,CZ149))</f>
        <v>#VALUE!</v>
      </c>
      <c r="DA154" s="1" t="e">
        <f t="shared" si="139"/>
        <v>#VALUE!</v>
      </c>
      <c r="DB154" s="8" t="str">
        <f t="shared" si="156"/>
        <v/>
      </c>
    </row>
    <row r="155" spans="5:106" x14ac:dyDescent="0.15">
      <c r="E155" s="1">
        <v>152</v>
      </c>
      <c r="F155" s="1">
        <f t="shared" si="140"/>
        <v>1</v>
      </c>
      <c r="G155" s="1">
        <f t="shared" si="147"/>
        <v>1</v>
      </c>
      <c r="H155" s="1">
        <f t="shared" si="141"/>
        <v>1</v>
      </c>
      <c r="I155" s="1">
        <f t="shared" si="142"/>
        <v>1</v>
      </c>
      <c r="J155" s="1">
        <f t="shared" si="148"/>
        <v>1</v>
      </c>
      <c r="L155" s="1" t="str">
        <f>IF(ISERROR(HLOOKUP($C$10,$F$3:$J$253,153,0)),"",HLOOKUP($C$10,$F$3:$J$253,153,0))</f>
        <v/>
      </c>
      <c r="N155" s="67"/>
      <c r="W155" s="71" t="e">
        <f>IF(AA155="","",AA155*10+2)</f>
        <v>#VALUE!</v>
      </c>
      <c r="X155" s="71" t="str">
        <f>IF(OR(COUNTBLANK(AA155)=1,ISERROR(AA155)),"",COUNT(AA4:AA155))</f>
        <v/>
      </c>
      <c r="Y155" s="7" t="e">
        <f t="shared" si="113"/>
        <v>#VALUE!</v>
      </c>
      <c r="Z155" s="1" t="str">
        <f t="shared" si="127"/>
        <v/>
      </c>
      <c r="AA155" s="79" t="e">
        <f>IF(IF(COUNTIF(AA4:AA154,AA154)&gt;=MAX(D4:D8),AA154+1,AA154)&gt;50,"",IF(COUNTIF(AA4:AA154,AA154)&gt;=MAX(D4:D8),AA154+1,AA154))</f>
        <v>#VALUE!</v>
      </c>
      <c r="AB155" s="1" t="e">
        <f>IF(AA155="","",VLOOKUP(AA155,S4:U53,3,0))</f>
        <v>#VALUE!</v>
      </c>
      <c r="AC155" s="8" t="str">
        <f t="shared" si="114"/>
        <v/>
      </c>
      <c r="AE155" s="71" t="e">
        <f t="shared" si="115"/>
        <v>#VALUE!</v>
      </c>
      <c r="AF155" s="71" t="str">
        <f>IF(OR(COUNTBLANK(AI155)=1,ISERROR(AI155)),"",COUNT(AI4:AI155))</f>
        <v/>
      </c>
      <c r="AG155" s="7" t="e">
        <f t="shared" si="116"/>
        <v>#VALUE!</v>
      </c>
      <c r="AH155" s="1" t="str">
        <f>IF(ISERROR(INDEX(C4:C8,MATCH(G155,D4:D8,0))),"",INDEX(C4:C8,MATCH(G155,D4:D8,0)))</f>
        <v/>
      </c>
      <c r="AI155" s="79" t="e">
        <f>IF(IF(COUNTIF(AI4:AI153,AI153)&gt;=MAX(D4:D8),AI153+2,AI153)&gt;50,"",IF(COUNTIF(AI4:AI153,AI153)&gt;=MAX(D4:D8),AI153+2,AI153))</f>
        <v>#VALUE!</v>
      </c>
      <c r="AJ155" s="1" t="e">
        <f>IF(AI155="","",VLOOKUP(AI155,S4:U53,3,0))</f>
        <v>#VALUE!</v>
      </c>
      <c r="AK155" s="8" t="str">
        <f t="shared" si="117"/>
        <v/>
      </c>
      <c r="AM155" s="71" t="e">
        <f t="shared" si="118"/>
        <v>#VALUE!</v>
      </c>
      <c r="AN155" s="71" t="str">
        <f>IF(OR(COUNTBLANK(AQ155)=1,ISERROR(AQ155)),"",COUNT(AQ4:AQ155))</f>
        <v/>
      </c>
      <c r="AO155" s="7" t="e">
        <f t="shared" si="119"/>
        <v>#VALUE!</v>
      </c>
      <c r="AP155" s="1" t="str">
        <f>IF(ISERROR(INDEX(C4:C8,MATCH(H155,D4:D8,0))),"",INDEX(C4:C8,MATCH(H155,D4:D8,0)))</f>
        <v/>
      </c>
      <c r="AQ155" s="79" t="e">
        <f>IF(IF(COUNTIF(AQ4:AQ154,AQ152)&gt;=MAX(D4:D8),AQ152+3,AQ152)&gt;50,"",IF(COUNTIF(AQ4:AQ154,AQ152)&gt;=MAX(D4:D8),AQ152+3,AQ152))</f>
        <v>#VALUE!</v>
      </c>
      <c r="AR155" s="1" t="e">
        <f>IF(AQ155="","",VLOOKUP(AQ155,S4:U53,3,0))</f>
        <v>#VALUE!</v>
      </c>
      <c r="AS155" s="8" t="str">
        <f t="shared" si="120"/>
        <v/>
      </c>
      <c r="AU155" s="71" t="e">
        <f t="shared" si="121"/>
        <v>#VALUE!</v>
      </c>
      <c r="AV155" s="71" t="str">
        <f>IF(OR(COUNTBLANK(AY155)=1,ISERROR(AY155)),"",COUNT(AY4:AY155))</f>
        <v/>
      </c>
      <c r="AW155" s="7" t="e">
        <f t="shared" si="122"/>
        <v>#VALUE!</v>
      </c>
      <c r="AX155" s="1" t="str">
        <f>IF(ISERROR(INDEX(C4:C8,MATCH(I155,D4:D8,0))),"",INDEX(C4:C8,MATCH(I155,D4:D8,0)))</f>
        <v/>
      </c>
      <c r="AY155" s="79" t="e">
        <f>IF(IF(COUNTIF(AY4:AY154,AY151)&gt;=MAX(D4:D8),AY151+4,AY151)&gt;50,"",IF(COUNTIF(AY4:AY154,AY151)&gt;=MAX(D4:D8),AY151+4,AY151))</f>
        <v>#VALUE!</v>
      </c>
      <c r="AZ155" s="76" t="e">
        <f>IF(AY155="","",VLOOKUP(AY155,S4:U53,3,0))</f>
        <v>#VALUE!</v>
      </c>
      <c r="BA155" s="8" t="str">
        <f t="shared" si="123"/>
        <v/>
      </c>
      <c r="BC155" s="71" t="e">
        <f t="shared" si="124"/>
        <v>#VALUE!</v>
      </c>
      <c r="BD155" s="71" t="str">
        <f>IF(OR(COUNTBLANK(BG155)=1,ISERROR(BG155)),"",COUNT(BG4:BG155))</f>
        <v/>
      </c>
      <c r="BE155" s="7" t="e">
        <f t="shared" si="125"/>
        <v>#VALUE!</v>
      </c>
      <c r="BF155" s="1" t="str">
        <f>IF(ISERROR(INDEX(C4:C8,MATCH(J155,D4:D8,0))),"",INDEX(C4:C8,MATCH(J155,D4:D8,0)))</f>
        <v/>
      </c>
      <c r="BG155" s="79" t="e">
        <f>IF(IF(COUNTIF(BG4:BG154,BG150)&gt;=MAX(D4:D8),BG150+5,BG150)&gt;50,"",IF(COUNTIF(BG4:BG154,BG150)&gt;=MAX(D4:D8),BG150+5,BG150))</f>
        <v>#VALUE!</v>
      </c>
      <c r="BH155" s="76" t="e">
        <f>IF(BG155="","",VLOOKUP(BG155,S4:U53,3,0))</f>
        <v>#VALUE!</v>
      </c>
      <c r="BI155" s="8" t="str">
        <f t="shared" si="126"/>
        <v/>
      </c>
      <c r="BP155" s="71" t="e">
        <f>IF(BT155="","",BT155*10+2)</f>
        <v>#VALUE!</v>
      </c>
      <c r="BQ155" s="71" t="str">
        <f>IF(OR(COUNTBLANK(BT155)=1,ISERROR(BT155)),"",COUNT(BT4:BT155))</f>
        <v/>
      </c>
      <c r="BR155" s="7" t="e">
        <f t="shared" si="128"/>
        <v>#VALUE!</v>
      </c>
      <c r="BS155" s="1" t="str">
        <f t="shared" si="129"/>
        <v/>
      </c>
      <c r="BT155" s="79" t="e">
        <f>IF(IF(COUNTIF($BT$4:BT154,BT154)&gt;=MAX($D$4:$D$8),BT154+1,BT154)&gt;55,"",IF(COUNTIF($BT$4:BT154,BT154)&gt;=MAX($D$4:$D$8),BT154+1,BT154))</f>
        <v>#VALUE!</v>
      </c>
      <c r="BU155" s="1" t="e">
        <f t="shared" si="130"/>
        <v>#VALUE!</v>
      </c>
      <c r="BV155" s="8" t="str">
        <f t="shared" si="131"/>
        <v/>
      </c>
      <c r="BX155" s="71" t="e">
        <f t="shared" si="132"/>
        <v>#VALUE!</v>
      </c>
      <c r="BY155" s="71" t="str">
        <f>IF(OR(COUNTBLANK(CB155)=1,ISERROR(CB155)),"",COUNT($CB$4:CB155))</f>
        <v/>
      </c>
      <c r="BZ155" s="7" t="e">
        <f t="shared" si="133"/>
        <v>#VALUE!</v>
      </c>
      <c r="CA155" s="1" t="str">
        <f t="shared" si="134"/>
        <v/>
      </c>
      <c r="CB155" s="79" t="e">
        <f>IF(IF(COUNTIF($CB$4:CB154,CB153)&gt;=MAX($D$4:$D$8),CB153+2,CB153)&gt;55,"",IF(COUNTIF($CB$4:CB154,CB153)&gt;=MAX($D$4:$D$8),CB153+2,CB153))</f>
        <v>#VALUE!</v>
      </c>
      <c r="CC155" s="1" t="e">
        <f t="shared" si="135"/>
        <v>#VALUE!</v>
      </c>
      <c r="CD155" s="8" t="str">
        <f t="shared" si="136"/>
        <v/>
      </c>
      <c r="CF155" s="71" t="e">
        <f t="shared" si="149"/>
        <v>#VALUE!</v>
      </c>
      <c r="CG155" s="71" t="str">
        <f>IF(OR(COUNTBLANK(CJ155)=1,ISERROR(CJ155)),"",COUNT($CJ$4:CJ155))</f>
        <v/>
      </c>
      <c r="CH155" s="7" t="e">
        <f t="shared" si="150"/>
        <v>#VALUE!</v>
      </c>
      <c r="CI155" s="1" t="str">
        <f t="shared" si="151"/>
        <v/>
      </c>
      <c r="CJ155" s="79" t="e">
        <f>IF(IF(COUNTIF($CJ$4:CJ154,CJ152)&gt;=MAX($D$4:$D$8),CJ152+3,CJ152)&gt;55,"",IF(COUNTIF($CJ$4:CJ154,CJ152)&gt;=MAX($D$4:$D$8),CJ152+3,CJ152))</f>
        <v>#VALUE!</v>
      </c>
      <c r="CK155" s="1" t="e">
        <f t="shared" si="137"/>
        <v>#VALUE!</v>
      </c>
      <c r="CL155" s="8" t="str">
        <f t="shared" si="152"/>
        <v/>
      </c>
      <c r="CN155" s="71" t="e">
        <f t="shared" si="143"/>
        <v>#VALUE!</v>
      </c>
      <c r="CO155" s="71" t="str">
        <f>IF(OR(COUNTBLANK(CR155)=1,ISERROR(CR155)),"",COUNT($CR$4:CR155))</f>
        <v/>
      </c>
      <c r="CP155" s="7" t="e">
        <f t="shared" si="144"/>
        <v>#VALUE!</v>
      </c>
      <c r="CQ155" s="1" t="str">
        <f t="shared" si="145"/>
        <v/>
      </c>
      <c r="CR155" s="79" t="e">
        <f>IF(IF(COUNTIF($CR$4:CR154,CR151)&gt;=MAX($D$4:$D$8),CR151+4,CR151)&gt;55,"",IF(COUNTIF($CR$4:CR154,CR151)&gt;=MAX($D$4:$D$8),CR151+4,CR151))</f>
        <v>#VALUE!</v>
      </c>
      <c r="CS155" s="1" t="e">
        <f t="shared" si="138"/>
        <v>#VALUE!</v>
      </c>
      <c r="CT155" s="8" t="str">
        <f t="shared" si="146"/>
        <v/>
      </c>
      <c r="CV155" s="71" t="e">
        <f t="shared" si="153"/>
        <v>#VALUE!</v>
      </c>
      <c r="CW155" s="71" t="str">
        <f>IF(OR(COUNTBLANK(CZ155)=1,ISERROR(CZ155)),"",COUNT($CZ$4:CZ155))</f>
        <v/>
      </c>
      <c r="CX155" s="7" t="e">
        <f t="shared" si="154"/>
        <v>#VALUE!</v>
      </c>
      <c r="CY155" s="1" t="str">
        <f t="shared" si="155"/>
        <v/>
      </c>
      <c r="CZ155" s="79" t="e">
        <f>IF(IF(COUNTIF($CZ$4:CZ154,CZ150)&gt;=MAX($D$4:$D$8),CZ150+5,CZ150)&gt;55,"",IF(COUNTIF($CZ$4:CZ154,CZ150)&gt;=MAX($D$4:$D$8),CZ150+5,CZ150))</f>
        <v>#VALUE!</v>
      </c>
      <c r="DA155" s="1" t="e">
        <f t="shared" si="139"/>
        <v>#VALUE!</v>
      </c>
      <c r="DB155" s="8" t="str">
        <f t="shared" si="156"/>
        <v/>
      </c>
    </row>
    <row r="156" spans="5:106" x14ac:dyDescent="0.15">
      <c r="E156" s="1">
        <v>153</v>
      </c>
      <c r="F156" s="1">
        <f t="shared" si="140"/>
        <v>1</v>
      </c>
      <c r="G156" s="1">
        <f t="shared" si="147"/>
        <v>1</v>
      </c>
      <c r="H156" s="1">
        <f t="shared" si="141"/>
        <v>1</v>
      </c>
      <c r="I156" s="1">
        <f t="shared" si="142"/>
        <v>1</v>
      </c>
      <c r="J156" s="1">
        <f t="shared" si="148"/>
        <v>1</v>
      </c>
      <c r="L156" s="1" t="str">
        <f>IF(ISERROR(HLOOKUP($C$10,$F$3:$J$253,154,0)),"",HLOOKUP($C$10,$F$3:$J$253,154,0))</f>
        <v/>
      </c>
      <c r="N156" s="67"/>
      <c r="W156" s="71" t="e">
        <f>IF(AA156="","",AA156*10+3)</f>
        <v>#VALUE!</v>
      </c>
      <c r="X156" s="71" t="str">
        <f>IF(OR(COUNTBLANK(AA156)=1,ISERROR(AA156)),"",COUNT(AA4:AA156))</f>
        <v/>
      </c>
      <c r="Y156" s="7" t="e">
        <f t="shared" si="113"/>
        <v>#VALUE!</v>
      </c>
      <c r="Z156" s="1" t="str">
        <f t="shared" si="127"/>
        <v/>
      </c>
      <c r="AA156" s="79" t="e">
        <f>IF(IF(COUNTIF(AA4:AA155,AA155)&gt;=MAX(D4:D8),AA155+1,AA155)&gt;50,"",IF(COUNTIF(AA4:AA155,AA155)&gt;=MAX(D4:D8),AA155+1,AA155))</f>
        <v>#VALUE!</v>
      </c>
      <c r="AB156" s="1" t="e">
        <f>IF(AA156="","",VLOOKUP(AA156,S4:U53,3,0))</f>
        <v>#VALUE!</v>
      </c>
      <c r="AC156" s="8" t="str">
        <f t="shared" si="114"/>
        <v/>
      </c>
      <c r="AE156" s="71" t="e">
        <f t="shared" si="115"/>
        <v>#VALUE!</v>
      </c>
      <c r="AF156" s="71" t="str">
        <f>IF(OR(COUNTBLANK(AI156)=1,ISERROR(AI156)),"",COUNT(AI4:AI156))</f>
        <v/>
      </c>
      <c r="AG156" s="7" t="e">
        <f t="shared" si="116"/>
        <v>#VALUE!</v>
      </c>
      <c r="AH156" s="1" t="str">
        <f>IF(ISERROR(INDEX(C4:C8,MATCH(G156,D4:D8,0))),"",INDEX(C4:C8,MATCH(G156,D4:D8,0)))</f>
        <v/>
      </c>
      <c r="AI156" s="79" t="e">
        <f>IF(IF(COUNTIF(AI4:AI155,AI154)&gt;=MAX(D4:D8),AI154+2,AI154)&gt;50,"",IF(COUNTIF(AI4:AI155,AI154)&gt;=MAX(D4:D8),AI154+2,AI154))</f>
        <v>#VALUE!</v>
      </c>
      <c r="AJ156" s="1" t="e">
        <f>IF(AI156="","",VLOOKUP(AI156,S4:U53,3,0))</f>
        <v>#VALUE!</v>
      </c>
      <c r="AK156" s="8" t="str">
        <f t="shared" si="117"/>
        <v/>
      </c>
      <c r="AM156" s="71" t="e">
        <f t="shared" si="118"/>
        <v>#VALUE!</v>
      </c>
      <c r="AN156" s="71" t="str">
        <f>IF(OR(COUNTBLANK(AQ156)=1,ISERROR(AQ156)),"",COUNT(AQ4:AQ156))</f>
        <v/>
      </c>
      <c r="AO156" s="7" t="e">
        <f t="shared" si="119"/>
        <v>#VALUE!</v>
      </c>
      <c r="AP156" s="1" t="str">
        <f>IF(ISERROR(INDEX(C4:C8,MATCH(H156,D4:D8,0))),"",INDEX(C4:C8,MATCH(H156,D4:D8,0)))</f>
        <v/>
      </c>
      <c r="AQ156" s="79" t="e">
        <f>IF(IF(COUNTIF(AQ4:AQ155,AQ153)&gt;=MAX(D4:D8),AQ153+3,AQ153)&gt;50,"",IF(COUNTIF(AQ4:AQ155,AQ153)&gt;=MAX(D4:D8),AQ153+3,AQ153))</f>
        <v>#VALUE!</v>
      </c>
      <c r="AR156" s="1" t="e">
        <f>IF(AQ156="","",VLOOKUP(AQ156,S4:U53,3,0))</f>
        <v>#VALUE!</v>
      </c>
      <c r="AS156" s="8" t="str">
        <f t="shared" si="120"/>
        <v/>
      </c>
      <c r="AU156" s="71" t="e">
        <f t="shared" si="121"/>
        <v>#VALUE!</v>
      </c>
      <c r="AV156" s="71" t="str">
        <f>IF(OR(COUNTBLANK(AY156)=1,ISERROR(AY156)),"",COUNT(AY4:AY156))</f>
        <v/>
      </c>
      <c r="AW156" s="7" t="e">
        <f t="shared" si="122"/>
        <v>#VALUE!</v>
      </c>
      <c r="AX156" s="1" t="str">
        <f>IF(ISERROR(INDEX(C4:C8,MATCH(I156,D4:D8,0))),"",INDEX(C4:C8,MATCH(I156,D4:D8,0)))</f>
        <v/>
      </c>
      <c r="AY156" s="79" t="e">
        <f>IF(IF(COUNTIF(AY4:AY155,AY152)&gt;=MAX(D4:D8),AY152+4,AY152)&gt;50,"",IF(COUNTIF(AY4:AY155,AY152)&gt;=MAX(D4:D8),AY152+4,AY152))</f>
        <v>#VALUE!</v>
      </c>
      <c r="AZ156" s="76" t="e">
        <f>IF(AY156="","",VLOOKUP(AY156,S4:U53,3,0))</f>
        <v>#VALUE!</v>
      </c>
      <c r="BA156" s="8" t="str">
        <f t="shared" si="123"/>
        <v/>
      </c>
      <c r="BC156" s="71" t="e">
        <f t="shared" si="124"/>
        <v>#VALUE!</v>
      </c>
      <c r="BD156" s="71" t="str">
        <f>IF(OR(COUNTBLANK(BG156)=1,ISERROR(BG156)),"",COUNT(BG4:BG156))</f>
        <v/>
      </c>
      <c r="BE156" s="7" t="e">
        <f t="shared" si="125"/>
        <v>#VALUE!</v>
      </c>
      <c r="BF156" s="1" t="str">
        <f>IF(ISERROR(INDEX(C4:C8,MATCH(J156,D4:D8,0))),"",INDEX(C4:C8,MATCH(J156,D4:D8,0)))</f>
        <v/>
      </c>
      <c r="BG156" s="79" t="e">
        <f>IF(IF(COUNTIF(BG4:BG155,BG151)&gt;=MAX(D4:D8),BG151+5,BG151)&gt;50,"",IF(COUNTIF(BG4:BG155,BG151)&gt;=MAX(D4:D8),BG151+5,BG151))</f>
        <v>#VALUE!</v>
      </c>
      <c r="BH156" s="76" t="e">
        <f>IF(BG156="","",VLOOKUP(BG156,S4:U53,3,0))</f>
        <v>#VALUE!</v>
      </c>
      <c r="BI156" s="8" t="str">
        <f t="shared" si="126"/>
        <v/>
      </c>
      <c r="BP156" s="71" t="e">
        <f>IF(BT156="","",BT156*10+3)</f>
        <v>#VALUE!</v>
      </c>
      <c r="BQ156" s="71" t="str">
        <f>IF(OR(COUNTBLANK(BT156)=1,ISERROR(BT156)),"",COUNT(BT4:BT156))</f>
        <v/>
      </c>
      <c r="BR156" s="7" t="e">
        <f t="shared" si="128"/>
        <v>#VALUE!</v>
      </c>
      <c r="BS156" s="1" t="str">
        <f t="shared" si="129"/>
        <v/>
      </c>
      <c r="BT156" s="79" t="e">
        <f>IF(IF(COUNTIF($BT$4:BT155,BT155)&gt;=MAX($D$4:$D$8),BT155+1,BT155)&gt;55,"",IF(COUNTIF($BT$4:BT155,BT155)&gt;=MAX($D$4:$D$8),BT155+1,BT155))</f>
        <v>#VALUE!</v>
      </c>
      <c r="BU156" s="1" t="e">
        <f t="shared" si="130"/>
        <v>#VALUE!</v>
      </c>
      <c r="BV156" s="8" t="str">
        <f t="shared" si="131"/>
        <v/>
      </c>
      <c r="BX156" s="71" t="e">
        <f t="shared" si="132"/>
        <v>#VALUE!</v>
      </c>
      <c r="BY156" s="71" t="str">
        <f>IF(OR(COUNTBLANK(CB156)=1,ISERROR(CB156)),"",COUNT($CB$4:CB156))</f>
        <v/>
      </c>
      <c r="BZ156" s="7" t="e">
        <f t="shared" si="133"/>
        <v>#VALUE!</v>
      </c>
      <c r="CA156" s="1" t="str">
        <f t="shared" si="134"/>
        <v/>
      </c>
      <c r="CB156" s="79" t="e">
        <f>IF(IF(COUNTIF($CB$4:CB155,CB154)&gt;=MAX($D$4:$D$8),CB154+2,CB154)&gt;55,"",IF(COUNTIF($CB$4:CB155,CB154)&gt;=MAX($D$4:$D$8),CB154+2,CB154))</f>
        <v>#VALUE!</v>
      </c>
      <c r="CC156" s="1" t="e">
        <f t="shared" si="135"/>
        <v>#VALUE!</v>
      </c>
      <c r="CD156" s="8" t="str">
        <f t="shared" si="136"/>
        <v/>
      </c>
      <c r="CF156" s="71" t="e">
        <f t="shared" si="149"/>
        <v>#VALUE!</v>
      </c>
      <c r="CG156" s="71" t="str">
        <f>IF(OR(COUNTBLANK(CJ156)=1,ISERROR(CJ156)),"",COUNT($CJ$4:CJ156))</f>
        <v/>
      </c>
      <c r="CH156" s="7" t="e">
        <f t="shared" si="150"/>
        <v>#VALUE!</v>
      </c>
      <c r="CI156" s="1" t="str">
        <f t="shared" si="151"/>
        <v/>
      </c>
      <c r="CJ156" s="79" t="e">
        <f>IF(IF(COUNTIF($CJ$4:CJ155,CJ153)&gt;=MAX($D$4:$D$8),CJ153+3,CJ153)&gt;55,"",IF(COUNTIF($CJ$4:CJ155,CJ153)&gt;=MAX($D$4:$D$8),CJ153+3,CJ153))</f>
        <v>#VALUE!</v>
      </c>
      <c r="CK156" s="1" t="e">
        <f t="shared" si="137"/>
        <v>#VALUE!</v>
      </c>
      <c r="CL156" s="8" t="str">
        <f t="shared" si="152"/>
        <v/>
      </c>
      <c r="CN156" s="71" t="e">
        <f t="shared" si="143"/>
        <v>#VALUE!</v>
      </c>
      <c r="CO156" s="71" t="str">
        <f>IF(OR(COUNTBLANK(CR156)=1,ISERROR(CR156)),"",COUNT($CR$4:CR156))</f>
        <v/>
      </c>
      <c r="CP156" s="7" t="e">
        <f t="shared" si="144"/>
        <v>#VALUE!</v>
      </c>
      <c r="CQ156" s="1" t="str">
        <f t="shared" si="145"/>
        <v/>
      </c>
      <c r="CR156" s="79" t="e">
        <f>IF(IF(COUNTIF($CR$4:CR155,CR152)&gt;=MAX($D$4:$D$8),CR152+4,CR152)&gt;55,"",IF(COUNTIF($CR$4:CR155,CR152)&gt;=MAX($D$4:$D$8),CR152+4,CR152))</f>
        <v>#VALUE!</v>
      </c>
      <c r="CS156" s="1" t="e">
        <f t="shared" si="138"/>
        <v>#VALUE!</v>
      </c>
      <c r="CT156" s="8" t="str">
        <f t="shared" si="146"/>
        <v/>
      </c>
      <c r="CV156" s="71" t="e">
        <f t="shared" si="153"/>
        <v>#VALUE!</v>
      </c>
      <c r="CW156" s="71" t="str">
        <f>IF(OR(COUNTBLANK(CZ156)=1,ISERROR(CZ156)),"",COUNT($CZ$4:CZ156))</f>
        <v/>
      </c>
      <c r="CX156" s="7" t="e">
        <f t="shared" si="154"/>
        <v>#VALUE!</v>
      </c>
      <c r="CY156" s="1" t="str">
        <f t="shared" si="155"/>
        <v/>
      </c>
      <c r="CZ156" s="79" t="e">
        <f>IF(IF(COUNTIF($CZ$4:CZ155,CZ151)&gt;=MAX($D$4:$D$8),CZ151+5,CZ151)&gt;55,"",IF(COUNTIF($CZ$4:CZ155,CZ151)&gt;=MAX($D$4:$D$8),CZ151+5,CZ151))</f>
        <v>#VALUE!</v>
      </c>
      <c r="DA156" s="1" t="e">
        <f t="shared" si="139"/>
        <v>#VALUE!</v>
      </c>
      <c r="DB156" s="8" t="str">
        <f t="shared" si="156"/>
        <v/>
      </c>
    </row>
    <row r="157" spans="5:106" x14ac:dyDescent="0.15">
      <c r="E157" s="1">
        <v>154</v>
      </c>
      <c r="F157" s="1">
        <f t="shared" si="140"/>
        <v>1</v>
      </c>
      <c r="G157" s="1">
        <f t="shared" si="147"/>
        <v>1</v>
      </c>
      <c r="H157" s="1">
        <f t="shared" si="141"/>
        <v>1</v>
      </c>
      <c r="I157" s="1">
        <f t="shared" si="142"/>
        <v>1</v>
      </c>
      <c r="J157" s="1">
        <f t="shared" si="148"/>
        <v>1</v>
      </c>
      <c r="L157" s="1" t="str">
        <f>IF(ISERROR(HLOOKUP($C$10,$F$3:$J$253,155,0)),"",HLOOKUP($C$10,$F$3:$J$253,155,0))</f>
        <v/>
      </c>
      <c r="N157" s="67"/>
      <c r="W157" s="71" t="e">
        <f>IF(AA157="","",AA157*10+4)</f>
        <v>#VALUE!</v>
      </c>
      <c r="X157" s="71" t="str">
        <f>IF(OR(COUNTBLANK(AA157)=1,ISERROR(AA157)),"",COUNT(AA4:AA157))</f>
        <v/>
      </c>
      <c r="Y157" s="7" t="e">
        <f t="shared" si="113"/>
        <v>#VALUE!</v>
      </c>
      <c r="Z157" s="1" t="str">
        <f t="shared" si="127"/>
        <v/>
      </c>
      <c r="AA157" s="79" t="e">
        <f>IF(IF(COUNTIF(AA4:AA156,AA156)&gt;=MAX(D4:D8),AA156+1,AA156)&gt;50,"",IF(COUNTIF(AA4:AA156,AA156)&gt;=MAX(D4:D8),AA156+1,AA156))</f>
        <v>#VALUE!</v>
      </c>
      <c r="AB157" s="1" t="e">
        <f>IF(AA157="","",VLOOKUP(AA157,S4:U53,3,0))</f>
        <v>#VALUE!</v>
      </c>
      <c r="AC157" s="8" t="str">
        <f t="shared" si="114"/>
        <v/>
      </c>
      <c r="AE157" s="71" t="e">
        <f t="shared" si="115"/>
        <v>#VALUE!</v>
      </c>
      <c r="AF157" s="71" t="str">
        <f>IF(OR(COUNTBLANK(AI157)=1,ISERROR(AI157)),"",COUNT(AI4:AI157))</f>
        <v/>
      </c>
      <c r="AG157" s="7" t="e">
        <f t="shared" si="116"/>
        <v>#VALUE!</v>
      </c>
      <c r="AH157" s="1" t="str">
        <f>IF(ISERROR(INDEX(C4:C8,MATCH(G157,D4:D8,0))),"",INDEX(C4:C8,MATCH(G157,D4:D8,0)))</f>
        <v/>
      </c>
      <c r="AI157" s="79" t="e">
        <f>IF(IF(COUNTIF(AI4:AI155,AI155)&gt;=MAX(D4:D8),AI155+2,AI155)&gt;50,"",IF(COUNTIF(AI4:AI155,AI155)&gt;=MAX(D4:D8),AI155+2,AI155))</f>
        <v>#VALUE!</v>
      </c>
      <c r="AJ157" s="1" t="e">
        <f>IF(AI157="","",VLOOKUP(AI157,S4:U53,3,0))</f>
        <v>#VALUE!</v>
      </c>
      <c r="AK157" s="8" t="str">
        <f t="shared" si="117"/>
        <v/>
      </c>
      <c r="AM157" s="71" t="e">
        <f t="shared" si="118"/>
        <v>#VALUE!</v>
      </c>
      <c r="AN157" s="71" t="str">
        <f>IF(OR(COUNTBLANK(AQ157)=1,ISERROR(AQ157)),"",COUNT(AQ4:AQ157))</f>
        <v/>
      </c>
      <c r="AO157" s="7" t="e">
        <f t="shared" si="119"/>
        <v>#VALUE!</v>
      </c>
      <c r="AP157" s="1" t="str">
        <f>IF(ISERROR(INDEX(C4:C8,MATCH(H157,D4:D8,0))),"",INDEX(C4:C8,MATCH(H157,D4:D8,0)))</f>
        <v/>
      </c>
      <c r="AQ157" s="79" t="e">
        <f>IF(IF(COUNTIF(AQ4:AQ156,AQ154)&gt;=MAX(D4:D8),AQ154+3,AQ154)&gt;50,"",IF(COUNTIF(AQ4:AQ156,AQ154)&gt;=MAX(D4:D8),AQ154+3,AQ154))</f>
        <v>#VALUE!</v>
      </c>
      <c r="AR157" s="1" t="e">
        <f>IF(AQ157="","",VLOOKUP(AQ157,S4:U53,3,0))</f>
        <v>#VALUE!</v>
      </c>
      <c r="AS157" s="8" t="str">
        <f t="shared" si="120"/>
        <v/>
      </c>
      <c r="AU157" s="71" t="e">
        <f t="shared" si="121"/>
        <v>#VALUE!</v>
      </c>
      <c r="AV157" s="71" t="str">
        <f>IF(OR(COUNTBLANK(AY157)=1,ISERROR(AY157)),"",COUNT(AY4:AY157))</f>
        <v/>
      </c>
      <c r="AW157" s="7" t="e">
        <f t="shared" si="122"/>
        <v>#VALUE!</v>
      </c>
      <c r="AX157" s="1" t="str">
        <f>IF(ISERROR(INDEX(C4:C8,MATCH(I157,D4:D8,0))),"",INDEX(C4:C8,MATCH(I157,D4:D8,0)))</f>
        <v/>
      </c>
      <c r="AY157" s="79" t="e">
        <f>IF(IF(COUNTIF(AY4:AY156,AY153)&gt;=MAX(D4:D8),AY153+4,AY153)&gt;50,"",IF(COUNTIF(AY4:AY156,AY153)&gt;=MAX(D4:D8),AY153+4,AY153))</f>
        <v>#VALUE!</v>
      </c>
      <c r="AZ157" s="76" t="e">
        <f>IF(AY157="","",VLOOKUP(AY157,S4:U53,3,0))</f>
        <v>#VALUE!</v>
      </c>
      <c r="BA157" s="8" t="str">
        <f t="shared" si="123"/>
        <v/>
      </c>
      <c r="BC157" s="71" t="e">
        <f t="shared" si="124"/>
        <v>#VALUE!</v>
      </c>
      <c r="BD157" s="71" t="str">
        <f>IF(OR(COUNTBLANK(BG157)=1,ISERROR(BG157)),"",COUNT(BG4:BG157))</f>
        <v/>
      </c>
      <c r="BE157" s="7" t="e">
        <f t="shared" si="125"/>
        <v>#VALUE!</v>
      </c>
      <c r="BF157" s="1" t="str">
        <f>IF(ISERROR(INDEX(C4:C8,MATCH(J157,D4:D8,0))),"",INDEX(C4:C8,MATCH(J157,D4:D8,0)))</f>
        <v/>
      </c>
      <c r="BG157" s="79" t="e">
        <f>IF(IF(COUNTIF(BG4:BG156,BG152)&gt;=MAX(D4:D8),BG152+5,BG152)&gt;50,"",IF(COUNTIF(BG4:BG156,BG152)&gt;=MAX(D4:D8),BG152+5,BG152))</f>
        <v>#VALUE!</v>
      </c>
      <c r="BH157" s="76" t="e">
        <f>IF(BG157="","",VLOOKUP(BG157,S4:U53,3,0))</f>
        <v>#VALUE!</v>
      </c>
      <c r="BI157" s="8" t="str">
        <f t="shared" si="126"/>
        <v/>
      </c>
      <c r="BP157" s="71" t="e">
        <f>IF(BT157="","",BT157*10+4)</f>
        <v>#VALUE!</v>
      </c>
      <c r="BQ157" s="71" t="str">
        <f>IF(OR(COUNTBLANK(BT157)=1,ISERROR(BT157)),"",COUNT(BT4:BT157))</f>
        <v/>
      </c>
      <c r="BR157" s="7" t="e">
        <f t="shared" si="128"/>
        <v>#VALUE!</v>
      </c>
      <c r="BS157" s="1" t="str">
        <f t="shared" si="129"/>
        <v/>
      </c>
      <c r="BT157" s="79" t="e">
        <f>IF(IF(COUNTIF($BT$4:BT156,BT156)&gt;=MAX($D$4:$D$8),BT156+1,BT156)&gt;55,"",IF(COUNTIF($BT$4:BT156,BT156)&gt;=MAX($D$4:$D$8),BT156+1,BT156))</f>
        <v>#VALUE!</v>
      </c>
      <c r="BU157" s="1" t="e">
        <f t="shared" si="130"/>
        <v>#VALUE!</v>
      </c>
      <c r="BV157" s="8" t="str">
        <f t="shared" si="131"/>
        <v/>
      </c>
      <c r="BX157" s="71" t="e">
        <f t="shared" si="132"/>
        <v>#VALUE!</v>
      </c>
      <c r="BY157" s="71" t="str">
        <f>IF(OR(COUNTBLANK(CB157)=1,ISERROR(CB157)),"",COUNT($CB$4:CB157))</f>
        <v/>
      </c>
      <c r="BZ157" s="7" t="e">
        <f t="shared" si="133"/>
        <v>#VALUE!</v>
      </c>
      <c r="CA157" s="1" t="str">
        <f t="shared" si="134"/>
        <v/>
      </c>
      <c r="CB157" s="79" t="e">
        <f>IF(IF(COUNTIF($CB$4:CB156,CB155)&gt;=MAX($D$4:$D$8),CB155+2,CB155)&gt;55,"",IF(COUNTIF($CB$4:CB156,CB155)&gt;=MAX($D$4:$D$8),CB155+2,CB155))</f>
        <v>#VALUE!</v>
      </c>
      <c r="CC157" s="1" t="e">
        <f t="shared" si="135"/>
        <v>#VALUE!</v>
      </c>
      <c r="CD157" s="8" t="str">
        <f t="shared" si="136"/>
        <v/>
      </c>
      <c r="CF157" s="71" t="e">
        <f t="shared" si="149"/>
        <v>#VALUE!</v>
      </c>
      <c r="CG157" s="71" t="str">
        <f>IF(OR(COUNTBLANK(CJ157)=1,ISERROR(CJ157)),"",COUNT($CJ$4:CJ157))</f>
        <v/>
      </c>
      <c r="CH157" s="7" t="e">
        <f t="shared" si="150"/>
        <v>#VALUE!</v>
      </c>
      <c r="CI157" s="1" t="str">
        <f t="shared" si="151"/>
        <v/>
      </c>
      <c r="CJ157" s="79" t="e">
        <f>IF(IF(COUNTIF($CJ$4:CJ156,CJ154)&gt;=MAX($D$4:$D$8),CJ154+3,CJ154)&gt;55,"",IF(COUNTIF($CJ$4:CJ156,CJ154)&gt;=MAX($D$4:$D$8),CJ154+3,CJ154))</f>
        <v>#VALUE!</v>
      </c>
      <c r="CK157" s="1" t="e">
        <f t="shared" si="137"/>
        <v>#VALUE!</v>
      </c>
      <c r="CL157" s="8" t="str">
        <f t="shared" si="152"/>
        <v/>
      </c>
      <c r="CN157" s="71" t="e">
        <f t="shared" si="143"/>
        <v>#VALUE!</v>
      </c>
      <c r="CO157" s="71" t="str">
        <f>IF(OR(COUNTBLANK(CR157)=1,ISERROR(CR157)),"",COUNT($CR$4:CR157))</f>
        <v/>
      </c>
      <c r="CP157" s="7" t="e">
        <f t="shared" si="144"/>
        <v>#VALUE!</v>
      </c>
      <c r="CQ157" s="1" t="str">
        <f t="shared" si="145"/>
        <v/>
      </c>
      <c r="CR157" s="79" t="e">
        <f>IF(IF(COUNTIF($CR$4:CR156,CR153)&gt;=MAX($D$4:$D$8),CR153+4,CR153)&gt;55,"",IF(COUNTIF($CR$4:CR156,CR153)&gt;=MAX($D$4:$D$8),CR153+4,CR153))</f>
        <v>#VALUE!</v>
      </c>
      <c r="CS157" s="1" t="e">
        <f t="shared" si="138"/>
        <v>#VALUE!</v>
      </c>
      <c r="CT157" s="8" t="str">
        <f t="shared" si="146"/>
        <v/>
      </c>
      <c r="CV157" s="71" t="e">
        <f t="shared" si="153"/>
        <v>#VALUE!</v>
      </c>
      <c r="CW157" s="71" t="str">
        <f>IF(OR(COUNTBLANK(CZ157)=1,ISERROR(CZ157)),"",COUNT($CZ$4:CZ157))</f>
        <v/>
      </c>
      <c r="CX157" s="7" t="e">
        <f t="shared" si="154"/>
        <v>#VALUE!</v>
      </c>
      <c r="CY157" s="1" t="str">
        <f t="shared" si="155"/>
        <v/>
      </c>
      <c r="CZ157" s="79" t="e">
        <f>IF(IF(COUNTIF($CZ$4:CZ156,CZ152)&gt;=MAX($D$4:$D$8),CZ152+5,CZ152)&gt;55,"",IF(COUNTIF($CZ$4:CZ156,CZ152)&gt;=MAX($D$4:$D$8),CZ152+5,CZ152))</f>
        <v>#VALUE!</v>
      </c>
      <c r="DA157" s="1" t="e">
        <f t="shared" si="139"/>
        <v>#VALUE!</v>
      </c>
      <c r="DB157" s="8" t="str">
        <f t="shared" si="156"/>
        <v/>
      </c>
    </row>
    <row r="158" spans="5:106" x14ac:dyDescent="0.15">
      <c r="E158" s="1">
        <v>155</v>
      </c>
      <c r="F158" s="1">
        <f t="shared" si="140"/>
        <v>1</v>
      </c>
      <c r="G158" s="1">
        <f t="shared" si="147"/>
        <v>1</v>
      </c>
      <c r="H158" s="1">
        <f t="shared" si="141"/>
        <v>1</v>
      </c>
      <c r="I158" s="1">
        <f t="shared" si="142"/>
        <v>1</v>
      </c>
      <c r="J158" s="1">
        <f t="shared" si="148"/>
        <v>1</v>
      </c>
      <c r="L158" s="1" t="str">
        <f>IF(ISERROR(HLOOKUP($C$10,$F$3:$J$253,156,0)),"",HLOOKUP($C$10,$F$3:$J$253,156,0))</f>
        <v/>
      </c>
      <c r="N158" s="67"/>
      <c r="W158" s="71" t="e">
        <f>IF(AA158="","",AA158*10+5)</f>
        <v>#VALUE!</v>
      </c>
      <c r="X158" s="71" t="str">
        <f>IF(OR(COUNTBLANK(AA158)=1,ISERROR(AA158)),"",COUNT(AA4:AA158))</f>
        <v/>
      </c>
      <c r="Y158" s="7" t="e">
        <f t="shared" si="113"/>
        <v>#VALUE!</v>
      </c>
      <c r="Z158" s="1" t="str">
        <f t="shared" si="127"/>
        <v/>
      </c>
      <c r="AA158" s="79" t="e">
        <f>IF(IF(COUNTIF(AA4:AA157,AA157)&gt;=MAX(D4:D8),AA157+1,AA157)&gt;50,"",IF(COUNTIF(AA4:AA157,AA157)&gt;=MAX(D4:D8),AA157+1,AA157))</f>
        <v>#VALUE!</v>
      </c>
      <c r="AB158" s="1" t="e">
        <f>IF(AA158="","",VLOOKUP(AA158,S4:U53,3,0))</f>
        <v>#VALUE!</v>
      </c>
      <c r="AC158" s="8" t="str">
        <f t="shared" si="114"/>
        <v/>
      </c>
      <c r="AE158" s="71" t="e">
        <f t="shared" si="115"/>
        <v>#VALUE!</v>
      </c>
      <c r="AF158" s="71" t="str">
        <f>IF(OR(COUNTBLANK(AI158)=1,ISERROR(AI158)),"",COUNT(AI4:AI158))</f>
        <v/>
      </c>
      <c r="AG158" s="7" t="e">
        <f t="shared" si="116"/>
        <v>#VALUE!</v>
      </c>
      <c r="AH158" s="1" t="str">
        <f>IF(ISERROR(INDEX(C4:C8,MATCH(G158,D4:D8,0))),"",INDEX(C4:C8,MATCH(G158,D4:D8,0)))</f>
        <v/>
      </c>
      <c r="AI158" s="79" t="e">
        <f>IF(IF(COUNTIF(AI4:AI157,AI156)&gt;=MAX(D4:D8),AI156+2,AI156)&gt;50,"",IF(COUNTIF(AI4:AI157,AI156)&gt;=MAX(D4:D8),AI156+2,AI156))</f>
        <v>#VALUE!</v>
      </c>
      <c r="AJ158" s="1" t="e">
        <f>IF(AI158="","",VLOOKUP(AI158,S4:U53,3,0))</f>
        <v>#VALUE!</v>
      </c>
      <c r="AK158" s="8" t="str">
        <f t="shared" si="117"/>
        <v/>
      </c>
      <c r="AM158" s="71" t="e">
        <f t="shared" si="118"/>
        <v>#VALUE!</v>
      </c>
      <c r="AN158" s="71" t="str">
        <f>IF(OR(COUNTBLANK(AQ158)=1,ISERROR(AQ158)),"",COUNT(AQ4:AQ158))</f>
        <v/>
      </c>
      <c r="AO158" s="7" t="e">
        <f t="shared" si="119"/>
        <v>#VALUE!</v>
      </c>
      <c r="AP158" s="1" t="str">
        <f>IF(ISERROR(INDEX(C4:C8,MATCH(H158,D4:D8,0))),"",INDEX(C4:C8,MATCH(H158,D4:D8,0)))</f>
        <v/>
      </c>
      <c r="AQ158" s="79" t="e">
        <f>IF(IF(COUNTIF(AQ4:AQ157,AQ155)&gt;=MAX(D4:D8),AQ155+3,AQ155)&gt;50,"",IF(COUNTIF(AQ4:AQ157,AQ155)&gt;=MAX(D4:D8),AQ155+3,AQ155))</f>
        <v>#VALUE!</v>
      </c>
      <c r="AR158" s="1" t="e">
        <f>IF(AQ158="","",VLOOKUP(AQ158,S4:U53,3,0))</f>
        <v>#VALUE!</v>
      </c>
      <c r="AS158" s="8" t="str">
        <f t="shared" si="120"/>
        <v/>
      </c>
      <c r="AU158" s="71" t="e">
        <f t="shared" si="121"/>
        <v>#VALUE!</v>
      </c>
      <c r="AV158" s="71" t="str">
        <f>IF(OR(COUNTBLANK(AY158)=1,ISERROR(AY158)),"",COUNT(AY4:AY158))</f>
        <v/>
      </c>
      <c r="AW158" s="7" t="e">
        <f t="shared" si="122"/>
        <v>#VALUE!</v>
      </c>
      <c r="AX158" s="1" t="str">
        <f>IF(ISERROR(INDEX(C4:C8,MATCH(I158,D4:D8,0))),"",INDEX(C4:C8,MATCH(I158,D4:D8,0)))</f>
        <v/>
      </c>
      <c r="AY158" s="79" t="e">
        <f>IF(IF(COUNTIF(AY4:AY157,AY154)&gt;=MAX(D4:D8),AY154+4,AY154)&gt;50,"",IF(COUNTIF(AY4:AY157,AY154)&gt;=MAX(D4:D8),AY154+4,AY154))</f>
        <v>#VALUE!</v>
      </c>
      <c r="AZ158" s="76" t="e">
        <f>IF(AY158="","",VLOOKUP(AY158,S4:U53,3,0))</f>
        <v>#VALUE!</v>
      </c>
      <c r="BA158" s="8" t="str">
        <f t="shared" si="123"/>
        <v/>
      </c>
      <c r="BC158" s="71" t="e">
        <f t="shared" si="124"/>
        <v>#VALUE!</v>
      </c>
      <c r="BD158" s="71" t="str">
        <f>IF(OR(COUNTBLANK(BG158)=1,ISERROR(BG158)),"",COUNT(BG4:BG158))</f>
        <v/>
      </c>
      <c r="BE158" s="7" t="e">
        <f t="shared" si="125"/>
        <v>#VALUE!</v>
      </c>
      <c r="BF158" s="1" t="str">
        <f>IF(ISERROR(INDEX(C4:C8,MATCH(J158,D4:D8,0))),"",INDEX(C4:C8,MATCH(J158,D4:D8,0)))</f>
        <v/>
      </c>
      <c r="BG158" s="79" t="e">
        <f>IF(IF(COUNTIF(BG4:BG157,BG153)&gt;=MAX(D4:D8),BG153+5,BG153)&gt;50,"",IF(COUNTIF(BG4:BG157,BG153)&gt;=MAX(D4:D8),BG153+5,BG153))</f>
        <v>#VALUE!</v>
      </c>
      <c r="BH158" s="76" t="e">
        <f>IF(BG158="","",VLOOKUP(BG158,S4:U53,3,0))</f>
        <v>#VALUE!</v>
      </c>
      <c r="BI158" s="8" t="str">
        <f t="shared" si="126"/>
        <v/>
      </c>
      <c r="BP158" s="71" t="e">
        <f>IF(BT158="","",BT158*10+5)</f>
        <v>#VALUE!</v>
      </c>
      <c r="BQ158" s="71" t="str">
        <f>IF(OR(COUNTBLANK(BT158)=1,ISERROR(BT158)),"",COUNT(BT4:BT158))</f>
        <v/>
      </c>
      <c r="BR158" s="7" t="e">
        <f t="shared" si="128"/>
        <v>#VALUE!</v>
      </c>
      <c r="BS158" s="1" t="str">
        <f t="shared" si="129"/>
        <v/>
      </c>
      <c r="BT158" s="79" t="e">
        <f>IF(IF(COUNTIF($BT$4:BT157,BT157)&gt;=MAX($D$4:$D$8),BT157+1,BT157)&gt;55,"",IF(COUNTIF($BT$4:BT157,BT157)&gt;=MAX($D$4:$D$8),BT157+1,BT157))</f>
        <v>#VALUE!</v>
      </c>
      <c r="BU158" s="1" t="e">
        <f t="shared" si="130"/>
        <v>#VALUE!</v>
      </c>
      <c r="BV158" s="8" t="str">
        <f t="shared" si="131"/>
        <v/>
      </c>
      <c r="BX158" s="71" t="e">
        <f t="shared" si="132"/>
        <v>#VALUE!</v>
      </c>
      <c r="BY158" s="71" t="str">
        <f>IF(OR(COUNTBLANK(CB158)=1,ISERROR(CB158)),"",COUNT($CB$4:CB158))</f>
        <v/>
      </c>
      <c r="BZ158" s="7" t="e">
        <f t="shared" si="133"/>
        <v>#VALUE!</v>
      </c>
      <c r="CA158" s="1" t="str">
        <f t="shared" si="134"/>
        <v/>
      </c>
      <c r="CB158" s="79" t="e">
        <f>IF(IF(COUNTIF($CB$4:CB157,CB156)&gt;=MAX($D$4:$D$8),CB156+2,CB156)&gt;55,"",IF(COUNTIF($CB$4:CB157,CB156)&gt;=MAX($D$4:$D$8),CB156+2,CB156))</f>
        <v>#VALUE!</v>
      </c>
      <c r="CC158" s="1" t="e">
        <f t="shared" si="135"/>
        <v>#VALUE!</v>
      </c>
      <c r="CD158" s="8" t="str">
        <f t="shared" si="136"/>
        <v/>
      </c>
      <c r="CF158" s="71" t="e">
        <f t="shared" si="149"/>
        <v>#VALUE!</v>
      </c>
      <c r="CG158" s="71" t="str">
        <f>IF(OR(COUNTBLANK(CJ158)=1,ISERROR(CJ158)),"",COUNT($CJ$4:CJ158))</f>
        <v/>
      </c>
      <c r="CH158" s="7" t="e">
        <f t="shared" si="150"/>
        <v>#VALUE!</v>
      </c>
      <c r="CI158" s="1" t="str">
        <f t="shared" si="151"/>
        <v/>
      </c>
      <c r="CJ158" s="79" t="e">
        <f>IF(IF(COUNTIF($CJ$4:CJ157,CJ155)&gt;=MAX($D$4:$D$8),CJ155+3,CJ155)&gt;55,"",IF(COUNTIF($CJ$4:CJ157,CJ155)&gt;=MAX($D$4:$D$8),CJ155+3,CJ155))</f>
        <v>#VALUE!</v>
      </c>
      <c r="CK158" s="1" t="e">
        <f t="shared" si="137"/>
        <v>#VALUE!</v>
      </c>
      <c r="CL158" s="8" t="str">
        <f t="shared" si="152"/>
        <v/>
      </c>
      <c r="CN158" s="71" t="e">
        <f t="shared" si="143"/>
        <v>#VALUE!</v>
      </c>
      <c r="CO158" s="71" t="str">
        <f>IF(OR(COUNTBLANK(CR158)=1,ISERROR(CR158)),"",COUNT($CR$4:CR158))</f>
        <v/>
      </c>
      <c r="CP158" s="7" t="e">
        <f t="shared" si="144"/>
        <v>#VALUE!</v>
      </c>
      <c r="CQ158" s="1" t="str">
        <f t="shared" si="145"/>
        <v/>
      </c>
      <c r="CR158" s="79" t="e">
        <f>IF(IF(COUNTIF($CR$4:CR157,CR154)&gt;=MAX($D$4:$D$8),CR154+4,CR154)&gt;55,"",IF(COUNTIF($CR$4:CR157,CR154)&gt;=MAX($D$4:$D$8),CR154+4,CR154))</f>
        <v>#VALUE!</v>
      </c>
      <c r="CS158" s="1" t="e">
        <f t="shared" si="138"/>
        <v>#VALUE!</v>
      </c>
      <c r="CT158" s="8" t="str">
        <f t="shared" si="146"/>
        <v/>
      </c>
      <c r="CV158" s="71" t="e">
        <f t="shared" si="153"/>
        <v>#VALUE!</v>
      </c>
      <c r="CW158" s="71" t="str">
        <f>IF(OR(COUNTBLANK(CZ158)=1,ISERROR(CZ158)),"",COUNT($CZ$4:CZ158))</f>
        <v/>
      </c>
      <c r="CX158" s="7" t="e">
        <f t="shared" si="154"/>
        <v>#VALUE!</v>
      </c>
      <c r="CY158" s="1" t="str">
        <f t="shared" si="155"/>
        <v/>
      </c>
      <c r="CZ158" s="79" t="e">
        <f>IF(IF(COUNTIF($CZ$4:CZ157,CZ153)&gt;=MAX($D$4:$D$8),CZ153+5,CZ153)&gt;55,"",IF(COUNTIF($CZ$4:CZ157,CZ153)&gt;=MAX($D$4:$D$8),CZ153+5,CZ153))</f>
        <v>#VALUE!</v>
      </c>
      <c r="DA158" s="1" t="e">
        <f t="shared" si="139"/>
        <v>#VALUE!</v>
      </c>
      <c r="DB158" s="8" t="str">
        <f t="shared" si="156"/>
        <v/>
      </c>
    </row>
    <row r="159" spans="5:106" x14ac:dyDescent="0.15">
      <c r="E159" s="1">
        <v>156</v>
      </c>
      <c r="F159" s="1">
        <f t="shared" si="140"/>
        <v>1</v>
      </c>
      <c r="G159" s="1">
        <f t="shared" si="147"/>
        <v>1</v>
      </c>
      <c r="H159" s="1">
        <f t="shared" si="141"/>
        <v>1</v>
      </c>
      <c r="I159" s="1">
        <f t="shared" si="142"/>
        <v>1</v>
      </c>
      <c r="J159" s="1">
        <f t="shared" si="148"/>
        <v>1</v>
      </c>
      <c r="L159" s="1" t="str">
        <f>IF(ISERROR(HLOOKUP($C$10,$F$3:$J$253,157,0)),"",HLOOKUP($C$10,$F$3:$J$253,157,0))</f>
        <v/>
      </c>
      <c r="N159" s="67"/>
      <c r="W159" s="71" t="e">
        <f>IF(AA159="","",AA159*10+1)</f>
        <v>#VALUE!</v>
      </c>
      <c r="X159" s="71" t="str">
        <f>IF(OR(COUNTBLANK(AA159)=1,ISERROR(AA159)),"",COUNT(AA4:AA159))</f>
        <v/>
      </c>
      <c r="Y159" s="7" t="e">
        <f t="shared" si="113"/>
        <v>#VALUE!</v>
      </c>
      <c r="Z159" s="1" t="str">
        <f t="shared" si="127"/>
        <v/>
      </c>
      <c r="AA159" s="79" t="e">
        <f>IF(IF(COUNTIF(AA4:AA158,AA158)&gt;=MAX(D4:D8),AA158+1,AA158)&gt;50,"",IF(COUNTIF(AA4:AA158,AA158)&gt;=MAX(D4:D8),AA158+1,AA158))</f>
        <v>#VALUE!</v>
      </c>
      <c r="AB159" s="1" t="e">
        <f>IF(AA159="","",VLOOKUP(AA159,S4:U53,3,0))</f>
        <v>#VALUE!</v>
      </c>
      <c r="AC159" s="8" t="str">
        <f t="shared" si="114"/>
        <v/>
      </c>
      <c r="AE159" s="71" t="e">
        <f t="shared" si="115"/>
        <v>#VALUE!</v>
      </c>
      <c r="AF159" s="71" t="str">
        <f>IF(OR(COUNTBLANK(AI159)=1,ISERROR(AI159)),"",COUNT(AI4:AI159))</f>
        <v/>
      </c>
      <c r="AG159" s="7" t="e">
        <f t="shared" si="116"/>
        <v>#VALUE!</v>
      </c>
      <c r="AH159" s="1" t="str">
        <f>IF(ISERROR(INDEX(C4:C8,MATCH(G159,D4:D8,0))),"",INDEX(C4:C8,MATCH(G159,D4:D8,0)))</f>
        <v/>
      </c>
      <c r="AI159" s="79" t="e">
        <f>IF(IF(COUNTIF(AI4:AI157,AI157)&gt;=MAX(D4:D8),AI157+2,AI157)&gt;50,"",IF(COUNTIF(AI4:AI157,AI157)&gt;=MAX(D4:D8),AI157+2,AI157))</f>
        <v>#VALUE!</v>
      </c>
      <c r="AJ159" s="1" t="e">
        <f>IF(AI159="","",VLOOKUP(AI159,S4:U53,3,0))</f>
        <v>#VALUE!</v>
      </c>
      <c r="AK159" s="8" t="str">
        <f t="shared" si="117"/>
        <v/>
      </c>
      <c r="AM159" s="71" t="e">
        <f t="shared" si="118"/>
        <v>#VALUE!</v>
      </c>
      <c r="AN159" s="71" t="str">
        <f>IF(OR(COUNTBLANK(AQ159)=1,ISERROR(AQ159)),"",COUNT(AQ4:AQ159))</f>
        <v/>
      </c>
      <c r="AO159" s="7" t="e">
        <f t="shared" si="119"/>
        <v>#VALUE!</v>
      </c>
      <c r="AP159" s="1" t="str">
        <f>IF(ISERROR(INDEX(C4:C8,MATCH(H159,D4:D8,0))),"",INDEX(C4:C8,MATCH(H159,D4:D8,0)))</f>
        <v/>
      </c>
      <c r="AQ159" s="79" t="e">
        <f>IF(IF(COUNTIF(AQ4:AQ158,AQ156)&gt;=MAX(D4:D8),AQ156+3,AQ156)&gt;50,"",IF(COUNTIF(AQ4:AQ158,AQ156)&gt;=MAX(D4:D8),AQ156+3,AQ156))</f>
        <v>#VALUE!</v>
      </c>
      <c r="AR159" s="1" t="e">
        <f>IF(AQ159="","",VLOOKUP(AQ159,S4:U53,3,0))</f>
        <v>#VALUE!</v>
      </c>
      <c r="AS159" s="8" t="str">
        <f t="shared" si="120"/>
        <v/>
      </c>
      <c r="AU159" s="71" t="e">
        <f t="shared" si="121"/>
        <v>#VALUE!</v>
      </c>
      <c r="AV159" s="71" t="str">
        <f>IF(OR(COUNTBLANK(AY159)=1,ISERROR(AY159)),"",COUNT(AY4:AY159))</f>
        <v/>
      </c>
      <c r="AW159" s="7" t="e">
        <f t="shared" si="122"/>
        <v>#VALUE!</v>
      </c>
      <c r="AX159" s="1" t="str">
        <f>IF(ISERROR(INDEX(C4:C8,MATCH(I159,D4:D8,0))),"",INDEX(C4:C8,MATCH(I159,D4:D8,0)))</f>
        <v/>
      </c>
      <c r="AY159" s="79" t="e">
        <f>IF(IF(COUNTIF(AY4:AY158,AY155)&gt;=MAX(D4:D8),AY155+4,AY155)&gt;50,"",IF(COUNTIF(AY4:AY158,AY155)&gt;=MAX(D4:D8),AY155+4,AY155))</f>
        <v>#VALUE!</v>
      </c>
      <c r="AZ159" s="76" t="e">
        <f>IF(AY159="","",VLOOKUP(AY159,S4:U53,3,0))</f>
        <v>#VALUE!</v>
      </c>
      <c r="BA159" s="8" t="str">
        <f t="shared" si="123"/>
        <v/>
      </c>
      <c r="BC159" s="71" t="e">
        <f t="shared" si="124"/>
        <v>#VALUE!</v>
      </c>
      <c r="BD159" s="71" t="str">
        <f>IF(OR(COUNTBLANK(BG159)=1,ISERROR(BG159)),"",COUNT(BG4:BG159))</f>
        <v/>
      </c>
      <c r="BE159" s="7" t="e">
        <f t="shared" si="125"/>
        <v>#VALUE!</v>
      </c>
      <c r="BF159" s="1" t="str">
        <f>IF(ISERROR(INDEX(C4:C8,MATCH(J159,D4:D8,0))),"",INDEX(C4:C8,MATCH(J159,D4:D8,0)))</f>
        <v/>
      </c>
      <c r="BG159" s="79" t="e">
        <f>IF(IF(COUNTIF(BG4:BG158,BG154)&gt;=MAX(D4:D8),BG154+5,BG154)&gt;50,"",IF(COUNTIF(BG4:BG158,BG154)&gt;=MAX(D4:D8),BG154+5,BG154))</f>
        <v>#VALUE!</v>
      </c>
      <c r="BH159" s="76" t="e">
        <f>IF(BG159="","",VLOOKUP(BG159,S4:U53,3,0))</f>
        <v>#VALUE!</v>
      </c>
      <c r="BI159" s="8" t="str">
        <f t="shared" si="126"/>
        <v/>
      </c>
      <c r="BP159" s="71" t="e">
        <f>IF(BT159="","",BT159*10+1)</f>
        <v>#VALUE!</v>
      </c>
      <c r="BQ159" s="71" t="str">
        <f>IF(OR(COUNTBLANK(BT159)=1,ISERROR(BT159)),"",COUNT(BT4:BT159))</f>
        <v/>
      </c>
      <c r="BR159" s="7" t="e">
        <f t="shared" si="128"/>
        <v>#VALUE!</v>
      </c>
      <c r="BS159" s="1" t="str">
        <f t="shared" si="129"/>
        <v/>
      </c>
      <c r="BT159" s="79" t="e">
        <f>IF(IF(COUNTIF($BT$4:BT158,BT158)&gt;=MAX($D$4:$D$8),BT158+1,BT158)&gt;55,"",IF(COUNTIF($BT$4:BT158,BT158)&gt;=MAX($D$4:$D$8),BT158+1,BT158))</f>
        <v>#VALUE!</v>
      </c>
      <c r="BU159" s="1" t="e">
        <f t="shared" si="130"/>
        <v>#VALUE!</v>
      </c>
      <c r="BV159" s="8" t="str">
        <f t="shared" si="131"/>
        <v/>
      </c>
      <c r="BX159" s="71" t="e">
        <f t="shared" si="132"/>
        <v>#VALUE!</v>
      </c>
      <c r="BY159" s="71" t="str">
        <f>IF(OR(COUNTBLANK(CB159)=1,ISERROR(CB159)),"",COUNT($CB$4:CB159))</f>
        <v/>
      </c>
      <c r="BZ159" s="7" t="e">
        <f t="shared" si="133"/>
        <v>#VALUE!</v>
      </c>
      <c r="CA159" s="1" t="str">
        <f t="shared" si="134"/>
        <v/>
      </c>
      <c r="CB159" s="79" t="e">
        <f>IF(IF(COUNTIF($CB$4:CB158,CB157)&gt;=MAX($D$4:$D$8),CB157+2,CB157)&gt;55,"",IF(COUNTIF($CB$4:CB158,CB157)&gt;=MAX($D$4:$D$8),CB157+2,CB157))</f>
        <v>#VALUE!</v>
      </c>
      <c r="CC159" s="1" t="e">
        <f t="shared" si="135"/>
        <v>#VALUE!</v>
      </c>
      <c r="CD159" s="8" t="str">
        <f t="shared" si="136"/>
        <v/>
      </c>
      <c r="CF159" s="71" t="e">
        <f t="shared" si="149"/>
        <v>#VALUE!</v>
      </c>
      <c r="CG159" s="71" t="str">
        <f>IF(OR(COUNTBLANK(CJ159)=1,ISERROR(CJ159)),"",COUNT($CJ$4:CJ159))</f>
        <v/>
      </c>
      <c r="CH159" s="7" t="e">
        <f t="shared" si="150"/>
        <v>#VALUE!</v>
      </c>
      <c r="CI159" s="1" t="str">
        <f t="shared" si="151"/>
        <v/>
      </c>
      <c r="CJ159" s="79" t="e">
        <f>IF(IF(COUNTIF($CJ$4:CJ158,CJ156)&gt;=MAX($D$4:$D$8),CJ156+3,CJ156)&gt;55,"",IF(COUNTIF($CJ$4:CJ158,CJ156)&gt;=MAX($D$4:$D$8),CJ156+3,CJ156))</f>
        <v>#VALUE!</v>
      </c>
      <c r="CK159" s="1" t="e">
        <f t="shared" si="137"/>
        <v>#VALUE!</v>
      </c>
      <c r="CL159" s="8" t="str">
        <f t="shared" si="152"/>
        <v/>
      </c>
      <c r="CN159" s="71" t="e">
        <f t="shared" si="143"/>
        <v>#VALUE!</v>
      </c>
      <c r="CO159" s="71" t="str">
        <f>IF(OR(COUNTBLANK(CR159)=1,ISERROR(CR159)),"",COUNT($CR$4:CR159))</f>
        <v/>
      </c>
      <c r="CP159" s="7" t="e">
        <f t="shared" si="144"/>
        <v>#VALUE!</v>
      </c>
      <c r="CQ159" s="1" t="str">
        <f t="shared" si="145"/>
        <v/>
      </c>
      <c r="CR159" s="79" t="e">
        <f>IF(IF(COUNTIF($CR$4:CR158,CR155)&gt;=MAX($D$4:$D$8),CR155+4,CR155)&gt;55,"",IF(COUNTIF($CR$4:CR158,CR155)&gt;=MAX($D$4:$D$8),CR155+4,CR155))</f>
        <v>#VALUE!</v>
      </c>
      <c r="CS159" s="1" t="e">
        <f t="shared" si="138"/>
        <v>#VALUE!</v>
      </c>
      <c r="CT159" s="8" t="str">
        <f t="shared" si="146"/>
        <v/>
      </c>
      <c r="CV159" s="71" t="e">
        <f t="shared" si="153"/>
        <v>#VALUE!</v>
      </c>
      <c r="CW159" s="71" t="str">
        <f>IF(OR(COUNTBLANK(CZ159)=1,ISERROR(CZ159)),"",COUNT($CZ$4:CZ159))</f>
        <v/>
      </c>
      <c r="CX159" s="7" t="e">
        <f t="shared" si="154"/>
        <v>#VALUE!</v>
      </c>
      <c r="CY159" s="1" t="str">
        <f t="shared" si="155"/>
        <v/>
      </c>
      <c r="CZ159" s="79" t="e">
        <f>IF(IF(COUNTIF($CZ$4:CZ158,CZ154)&gt;=MAX($D$4:$D$8),CZ154+5,CZ154)&gt;55,"",IF(COUNTIF($CZ$4:CZ158,CZ154)&gt;=MAX($D$4:$D$8),CZ154+5,CZ154))</f>
        <v>#VALUE!</v>
      </c>
      <c r="DA159" s="1" t="e">
        <f t="shared" si="139"/>
        <v>#VALUE!</v>
      </c>
      <c r="DB159" s="8" t="str">
        <f t="shared" si="156"/>
        <v/>
      </c>
    </row>
    <row r="160" spans="5:106" x14ac:dyDescent="0.15">
      <c r="E160" s="1">
        <v>157</v>
      </c>
      <c r="F160" s="1">
        <f t="shared" si="140"/>
        <v>1</v>
      </c>
      <c r="G160" s="1">
        <f t="shared" si="147"/>
        <v>1</v>
      </c>
      <c r="H160" s="1">
        <f t="shared" si="141"/>
        <v>1</v>
      </c>
      <c r="I160" s="1">
        <f t="shared" si="142"/>
        <v>1</v>
      </c>
      <c r="J160" s="1">
        <f t="shared" si="148"/>
        <v>1</v>
      </c>
      <c r="L160" s="1" t="str">
        <f>IF(ISERROR(HLOOKUP($C$10,$F$3:$J$253,158,0)),"",HLOOKUP($C$10,$F$3:$J$253,158,0))</f>
        <v/>
      </c>
      <c r="N160" s="67"/>
      <c r="W160" s="71" t="e">
        <f>IF(AA160="","",AA160*10+2)</f>
        <v>#VALUE!</v>
      </c>
      <c r="X160" s="71" t="str">
        <f>IF(OR(COUNTBLANK(AA160)=1,ISERROR(AA160)),"",COUNT(AA4:AA160))</f>
        <v/>
      </c>
      <c r="Y160" s="7" t="e">
        <f t="shared" si="113"/>
        <v>#VALUE!</v>
      </c>
      <c r="Z160" s="1" t="str">
        <f t="shared" si="127"/>
        <v/>
      </c>
      <c r="AA160" s="79" t="e">
        <f>IF(IF(COUNTIF(AA4:AA159,AA159)&gt;=MAX(D4:D8),AA159+1,AA159)&gt;50,"",IF(COUNTIF(AA4:AA159,AA159)&gt;=MAX(D4:D8),AA159+1,AA159))</f>
        <v>#VALUE!</v>
      </c>
      <c r="AB160" s="1" t="e">
        <f>IF(AA160="","",VLOOKUP(AA160,S4:U53,3,0))</f>
        <v>#VALUE!</v>
      </c>
      <c r="AC160" s="8" t="str">
        <f t="shared" si="114"/>
        <v/>
      </c>
      <c r="AE160" s="71" t="e">
        <f t="shared" si="115"/>
        <v>#VALUE!</v>
      </c>
      <c r="AF160" s="71" t="str">
        <f>IF(OR(COUNTBLANK(AI160)=1,ISERROR(AI160)),"",COUNT(AI4:AI160))</f>
        <v/>
      </c>
      <c r="AG160" s="7" t="e">
        <f t="shared" si="116"/>
        <v>#VALUE!</v>
      </c>
      <c r="AH160" s="1" t="str">
        <f>IF(ISERROR(INDEX(C4:C8,MATCH(G160,D4:D8,0))),"",INDEX(C4:C8,MATCH(G160,D4:D8,0)))</f>
        <v/>
      </c>
      <c r="AI160" s="79" t="e">
        <f>IF(IF(COUNTIF(AI4:AI159,AI158)&gt;=MAX(D4:D8),AI158+2,AI158)&gt;50,"",IF(COUNTIF(AI4:AI159,AI158)&gt;=MAX(D4:D8),AI158+2,AI158))</f>
        <v>#VALUE!</v>
      </c>
      <c r="AJ160" s="1" t="e">
        <f>IF(AI160="","",VLOOKUP(AI160,S4:U53,3,0))</f>
        <v>#VALUE!</v>
      </c>
      <c r="AK160" s="8" t="str">
        <f t="shared" si="117"/>
        <v/>
      </c>
      <c r="AM160" s="71" t="e">
        <f t="shared" si="118"/>
        <v>#VALUE!</v>
      </c>
      <c r="AN160" s="71" t="str">
        <f>IF(OR(COUNTBLANK(AQ160)=1,ISERROR(AQ160)),"",COUNT(AQ4:AQ160))</f>
        <v/>
      </c>
      <c r="AO160" s="7" t="e">
        <f t="shared" si="119"/>
        <v>#VALUE!</v>
      </c>
      <c r="AP160" s="1" t="str">
        <f>IF(ISERROR(INDEX(C4:C8,MATCH(H160,D4:D8,0))),"",INDEX(C4:C8,MATCH(H160,D4:D8,0)))</f>
        <v/>
      </c>
      <c r="AQ160" s="79" t="e">
        <f>IF(IF(COUNTIF(AQ4:AQ159,AQ157)&gt;=MAX(D4:D8),AQ157+3,AQ157)&gt;50,"",IF(COUNTIF(AQ4:AQ159,AQ157)&gt;=MAX(D4:D8),AQ157+3,AQ157))</f>
        <v>#VALUE!</v>
      </c>
      <c r="AR160" s="1" t="e">
        <f>IF(AQ160="","",VLOOKUP(AQ160,S4:U53,3,0))</f>
        <v>#VALUE!</v>
      </c>
      <c r="AS160" s="8" t="str">
        <f t="shared" si="120"/>
        <v/>
      </c>
      <c r="AU160" s="71" t="e">
        <f t="shared" si="121"/>
        <v>#VALUE!</v>
      </c>
      <c r="AV160" s="71" t="str">
        <f>IF(OR(COUNTBLANK(AY160)=1,ISERROR(AY160)),"",COUNT(AY4:AY160))</f>
        <v/>
      </c>
      <c r="AW160" s="7" t="e">
        <f t="shared" si="122"/>
        <v>#VALUE!</v>
      </c>
      <c r="AX160" s="1" t="str">
        <f>IF(ISERROR(INDEX(C4:C8,MATCH(I160,D4:D8,0))),"",INDEX(C4:C8,MATCH(I160,D4:D8,0)))</f>
        <v/>
      </c>
      <c r="AY160" s="79" t="e">
        <f>IF(IF(COUNTIF(AY4:AY159,AY156)&gt;=MAX(D4:D8),AY156+4,AY156)&gt;50,"",IF(COUNTIF(AY4:AY159,AY156)&gt;=MAX(D4:D8),AY156+4,AY156))</f>
        <v>#VALUE!</v>
      </c>
      <c r="AZ160" s="76" t="e">
        <f>IF(AY160="","",VLOOKUP(AY160,S4:U53,3,0))</f>
        <v>#VALUE!</v>
      </c>
      <c r="BA160" s="8" t="str">
        <f t="shared" si="123"/>
        <v/>
      </c>
      <c r="BC160" s="71" t="e">
        <f t="shared" si="124"/>
        <v>#VALUE!</v>
      </c>
      <c r="BD160" s="71" t="str">
        <f>IF(OR(COUNTBLANK(BG160)=1,ISERROR(BG160)),"",COUNT(BG4:BG160))</f>
        <v/>
      </c>
      <c r="BE160" s="7" t="e">
        <f t="shared" si="125"/>
        <v>#VALUE!</v>
      </c>
      <c r="BF160" s="1" t="str">
        <f>IF(ISERROR(INDEX(C4:C8,MATCH(J160,D4:D8,0))),"",INDEX(C4:C8,MATCH(J160,D4:D8,0)))</f>
        <v/>
      </c>
      <c r="BG160" s="79" t="e">
        <f>IF(IF(COUNTIF(BG4:BG159,BG155)&gt;=MAX(D4:D8),BG155+5,BG155)&gt;50,"",IF(COUNTIF(BG4:BG159,BG155)&gt;=MAX(D4:D8),BG155+5,BG155))</f>
        <v>#VALUE!</v>
      </c>
      <c r="BH160" s="76" t="e">
        <f>IF(BG160="","",VLOOKUP(BG160,S4:U53,3,0))</f>
        <v>#VALUE!</v>
      </c>
      <c r="BI160" s="8" t="str">
        <f t="shared" si="126"/>
        <v/>
      </c>
      <c r="BP160" s="71" t="e">
        <f>IF(BT160="","",BT160*10+2)</f>
        <v>#VALUE!</v>
      </c>
      <c r="BQ160" s="71" t="str">
        <f>IF(OR(COUNTBLANK(BT160)=1,ISERROR(BT160)),"",COUNT(BT4:BT160))</f>
        <v/>
      </c>
      <c r="BR160" s="7" t="e">
        <f t="shared" si="128"/>
        <v>#VALUE!</v>
      </c>
      <c r="BS160" s="1" t="str">
        <f t="shared" si="129"/>
        <v/>
      </c>
      <c r="BT160" s="79" t="e">
        <f>IF(IF(COUNTIF($BT$4:BT159,BT159)&gt;=MAX($D$4:$D$8),BT159+1,BT159)&gt;55,"",IF(COUNTIF($BT$4:BT159,BT159)&gt;=MAX($D$4:$D$8),BT159+1,BT159))</f>
        <v>#VALUE!</v>
      </c>
      <c r="BU160" s="1" t="e">
        <f t="shared" si="130"/>
        <v>#VALUE!</v>
      </c>
      <c r="BV160" s="8" t="str">
        <f t="shared" si="131"/>
        <v/>
      </c>
      <c r="BX160" s="71" t="e">
        <f t="shared" si="132"/>
        <v>#VALUE!</v>
      </c>
      <c r="BY160" s="71" t="str">
        <f>IF(OR(COUNTBLANK(CB160)=1,ISERROR(CB160)),"",COUNT($CB$4:CB160))</f>
        <v/>
      </c>
      <c r="BZ160" s="7" t="e">
        <f t="shared" si="133"/>
        <v>#VALUE!</v>
      </c>
      <c r="CA160" s="1" t="str">
        <f t="shared" si="134"/>
        <v/>
      </c>
      <c r="CB160" s="79" t="e">
        <f>IF(IF(COUNTIF($CB$4:CB159,CB158)&gt;=MAX($D$4:$D$8),CB158+2,CB158)&gt;55,"",IF(COUNTIF($CB$4:CB159,CB158)&gt;=MAX($D$4:$D$8),CB158+2,CB158))</f>
        <v>#VALUE!</v>
      </c>
      <c r="CC160" s="1" t="e">
        <f t="shared" si="135"/>
        <v>#VALUE!</v>
      </c>
      <c r="CD160" s="8" t="str">
        <f t="shared" si="136"/>
        <v/>
      </c>
      <c r="CF160" s="71" t="e">
        <f t="shared" si="149"/>
        <v>#VALUE!</v>
      </c>
      <c r="CG160" s="71" t="str">
        <f>IF(OR(COUNTBLANK(CJ160)=1,ISERROR(CJ160)),"",COUNT($CJ$4:CJ160))</f>
        <v/>
      </c>
      <c r="CH160" s="7" t="e">
        <f t="shared" si="150"/>
        <v>#VALUE!</v>
      </c>
      <c r="CI160" s="1" t="str">
        <f t="shared" si="151"/>
        <v/>
      </c>
      <c r="CJ160" s="79" t="e">
        <f>IF(IF(COUNTIF($CJ$4:CJ159,CJ157)&gt;=MAX($D$4:$D$8),CJ157+3,CJ157)&gt;55,"",IF(COUNTIF($CJ$4:CJ159,CJ157)&gt;=MAX($D$4:$D$8),CJ157+3,CJ157))</f>
        <v>#VALUE!</v>
      </c>
      <c r="CK160" s="1" t="e">
        <f t="shared" si="137"/>
        <v>#VALUE!</v>
      </c>
      <c r="CL160" s="8" t="str">
        <f t="shared" si="152"/>
        <v/>
      </c>
      <c r="CN160" s="71" t="e">
        <f t="shared" si="143"/>
        <v>#VALUE!</v>
      </c>
      <c r="CO160" s="71" t="str">
        <f>IF(OR(COUNTBLANK(CR160)=1,ISERROR(CR160)),"",COUNT($CR$4:CR160))</f>
        <v/>
      </c>
      <c r="CP160" s="7" t="e">
        <f t="shared" si="144"/>
        <v>#VALUE!</v>
      </c>
      <c r="CQ160" s="1" t="str">
        <f t="shared" si="145"/>
        <v/>
      </c>
      <c r="CR160" s="79" t="e">
        <f>IF(IF(COUNTIF($CR$4:CR159,CR156)&gt;=MAX($D$4:$D$8),CR156+4,CR156)&gt;55,"",IF(COUNTIF($CR$4:CR159,CR156)&gt;=MAX($D$4:$D$8),CR156+4,CR156))</f>
        <v>#VALUE!</v>
      </c>
      <c r="CS160" s="1" t="e">
        <f t="shared" si="138"/>
        <v>#VALUE!</v>
      </c>
      <c r="CT160" s="8" t="str">
        <f t="shared" si="146"/>
        <v/>
      </c>
      <c r="CV160" s="71" t="e">
        <f t="shared" si="153"/>
        <v>#VALUE!</v>
      </c>
      <c r="CW160" s="71" t="str">
        <f>IF(OR(COUNTBLANK(CZ160)=1,ISERROR(CZ160)),"",COUNT($CZ$4:CZ160))</f>
        <v/>
      </c>
      <c r="CX160" s="7" t="e">
        <f t="shared" si="154"/>
        <v>#VALUE!</v>
      </c>
      <c r="CY160" s="1" t="str">
        <f t="shared" si="155"/>
        <v/>
      </c>
      <c r="CZ160" s="79" t="e">
        <f>IF(IF(COUNTIF($CZ$4:CZ159,CZ155)&gt;=MAX($D$4:$D$8),CZ155+5,CZ155)&gt;55,"",IF(COUNTIF($CZ$4:CZ159,CZ155)&gt;=MAX($D$4:$D$8),CZ155+5,CZ155))</f>
        <v>#VALUE!</v>
      </c>
      <c r="DA160" s="1" t="e">
        <f t="shared" si="139"/>
        <v>#VALUE!</v>
      </c>
      <c r="DB160" s="8" t="str">
        <f t="shared" si="156"/>
        <v/>
      </c>
    </row>
    <row r="161" spans="5:106" x14ac:dyDescent="0.15">
      <c r="E161" s="1">
        <v>158</v>
      </c>
      <c r="F161" s="1">
        <f t="shared" si="140"/>
        <v>1</v>
      </c>
      <c r="G161" s="1">
        <f t="shared" si="147"/>
        <v>1</v>
      </c>
      <c r="H161" s="1">
        <f t="shared" si="141"/>
        <v>1</v>
      </c>
      <c r="I161" s="1">
        <f t="shared" si="142"/>
        <v>1</v>
      </c>
      <c r="J161" s="1">
        <f t="shared" si="148"/>
        <v>1</v>
      </c>
      <c r="L161" s="1" t="str">
        <f>IF(ISERROR(HLOOKUP($C$10,$F$3:$J$253,159,0)),"",HLOOKUP($C$10,$F$3:$J$253,159,0))</f>
        <v/>
      </c>
      <c r="N161" s="67"/>
      <c r="W161" s="71" t="e">
        <f>IF(AA161="","",AA161*10+3)</f>
        <v>#VALUE!</v>
      </c>
      <c r="X161" s="71" t="str">
        <f>IF(OR(COUNTBLANK(AA161)=1,ISERROR(AA161)),"",COUNT(AA4:AA161))</f>
        <v/>
      </c>
      <c r="Y161" s="7" t="e">
        <f t="shared" si="113"/>
        <v>#VALUE!</v>
      </c>
      <c r="Z161" s="1" t="str">
        <f t="shared" si="127"/>
        <v/>
      </c>
      <c r="AA161" s="79" t="e">
        <f>IF(IF(COUNTIF(AA4:AA160,AA160)&gt;=MAX(D4:D8),AA160+1,AA160)&gt;50,"",IF(COUNTIF(AA4:AA160,AA160)&gt;=MAX(D4:D8),AA160+1,AA160))</f>
        <v>#VALUE!</v>
      </c>
      <c r="AB161" s="1" t="e">
        <f>IF(AA161="","",VLOOKUP(AA161,S4:U53,3,0))</f>
        <v>#VALUE!</v>
      </c>
      <c r="AC161" s="8" t="str">
        <f t="shared" si="114"/>
        <v/>
      </c>
      <c r="AE161" s="71" t="e">
        <f t="shared" si="115"/>
        <v>#VALUE!</v>
      </c>
      <c r="AF161" s="71" t="str">
        <f>IF(OR(COUNTBLANK(AI161)=1,ISERROR(AI161)),"",COUNT(AI4:AI161))</f>
        <v/>
      </c>
      <c r="AG161" s="7" t="e">
        <f t="shared" si="116"/>
        <v>#VALUE!</v>
      </c>
      <c r="AH161" s="1" t="str">
        <f>IF(ISERROR(INDEX(C4:C8,MATCH(G161,D4:D8,0))),"",INDEX(C4:C8,MATCH(G161,D4:D8,0)))</f>
        <v/>
      </c>
      <c r="AI161" s="79" t="e">
        <f>IF(IF(COUNTIF(AI4:AI159,AI159)&gt;=MAX(D4:D8),AI159+2,AI159)&gt;50,"",IF(COUNTIF(AI4:AI159,AI159)&gt;=MAX(D4:D8),AI159+2,AI159))</f>
        <v>#VALUE!</v>
      </c>
      <c r="AJ161" s="1" t="e">
        <f>IF(AI161="","",VLOOKUP(AI161,S4:U53,3,0))</f>
        <v>#VALUE!</v>
      </c>
      <c r="AK161" s="8" t="str">
        <f t="shared" si="117"/>
        <v/>
      </c>
      <c r="AM161" s="71" t="e">
        <f t="shared" si="118"/>
        <v>#VALUE!</v>
      </c>
      <c r="AN161" s="71" t="str">
        <f>IF(OR(COUNTBLANK(AQ161)=1,ISERROR(AQ161)),"",COUNT(AQ4:AQ161))</f>
        <v/>
      </c>
      <c r="AO161" s="7" t="e">
        <f t="shared" si="119"/>
        <v>#VALUE!</v>
      </c>
      <c r="AP161" s="1" t="str">
        <f>IF(ISERROR(INDEX(C4:C8,MATCH(H161,D4:D8,0))),"",INDEX(C4:C8,MATCH(H161,D4:D8,0)))</f>
        <v/>
      </c>
      <c r="AQ161" s="79" t="e">
        <f>IF(IF(COUNTIF(AQ4:AQ160,AQ158)&gt;=MAX(D4:D8),AQ158+3,AQ158)&gt;50,"",IF(COUNTIF(AQ4:AQ160,AQ158)&gt;=MAX(D4:D8),AQ158+3,AQ158))</f>
        <v>#VALUE!</v>
      </c>
      <c r="AR161" s="1" t="e">
        <f>IF(AQ161="","",VLOOKUP(AQ161,S4:U53,3,0))</f>
        <v>#VALUE!</v>
      </c>
      <c r="AS161" s="8" t="str">
        <f t="shared" si="120"/>
        <v/>
      </c>
      <c r="AU161" s="71" t="e">
        <f t="shared" si="121"/>
        <v>#VALUE!</v>
      </c>
      <c r="AV161" s="71" t="str">
        <f>IF(OR(COUNTBLANK(AY161)=1,ISERROR(AY161)),"",COUNT(AY4:AY161))</f>
        <v/>
      </c>
      <c r="AW161" s="7" t="e">
        <f t="shared" si="122"/>
        <v>#VALUE!</v>
      </c>
      <c r="AX161" s="1" t="str">
        <f>IF(ISERROR(INDEX(C4:C8,MATCH(I161,D4:D8,0))),"",INDEX(C4:C8,MATCH(I161,D4:D8,0)))</f>
        <v/>
      </c>
      <c r="AY161" s="79" t="e">
        <f>IF(IF(COUNTIF(AY4:AY160,AY157)&gt;=MAX(D4:D8),AY157+4,AY157)&gt;50,"",IF(COUNTIF(AY4:AY160,AY157)&gt;=MAX(D4:D8),AY157+4,AY157))</f>
        <v>#VALUE!</v>
      </c>
      <c r="AZ161" s="76" t="e">
        <f>IF(AY161="","",VLOOKUP(AY161,S4:U53,3,0))</f>
        <v>#VALUE!</v>
      </c>
      <c r="BA161" s="8" t="str">
        <f t="shared" si="123"/>
        <v/>
      </c>
      <c r="BC161" s="71" t="e">
        <f t="shared" si="124"/>
        <v>#VALUE!</v>
      </c>
      <c r="BD161" s="71" t="str">
        <f>IF(OR(COUNTBLANK(BG161)=1,ISERROR(BG161)),"",COUNT(BG4:BG161))</f>
        <v/>
      </c>
      <c r="BE161" s="7" t="e">
        <f t="shared" si="125"/>
        <v>#VALUE!</v>
      </c>
      <c r="BF161" s="1" t="str">
        <f>IF(ISERROR(INDEX(C4:C8,MATCH(J161,D4:D8,0))),"",INDEX(C4:C8,MATCH(J161,D4:D8,0)))</f>
        <v/>
      </c>
      <c r="BG161" s="79" t="e">
        <f>IF(IF(COUNTIF(BG4:BG160,BG156)&gt;=MAX(D4:D8),BG156+5,BG156)&gt;50,"",IF(COUNTIF(BG4:BG160,BG156)&gt;=MAX(D4:D8),BG156+5,BG156))</f>
        <v>#VALUE!</v>
      </c>
      <c r="BH161" s="76" t="e">
        <f>IF(BG161="","",VLOOKUP(BG161,S4:U53,3,0))</f>
        <v>#VALUE!</v>
      </c>
      <c r="BI161" s="8" t="str">
        <f t="shared" si="126"/>
        <v/>
      </c>
      <c r="BP161" s="71" t="e">
        <f>IF(BT161="","",BT161*10+3)</f>
        <v>#VALUE!</v>
      </c>
      <c r="BQ161" s="71" t="str">
        <f>IF(OR(COUNTBLANK(BT161)=1,ISERROR(BT161)),"",COUNT(BT4:BT161))</f>
        <v/>
      </c>
      <c r="BR161" s="7" t="e">
        <f t="shared" si="128"/>
        <v>#VALUE!</v>
      </c>
      <c r="BS161" s="1" t="str">
        <f t="shared" si="129"/>
        <v/>
      </c>
      <c r="BT161" s="79" t="e">
        <f>IF(IF(COUNTIF($BT$4:BT160,BT160)&gt;=MAX($D$4:$D$8),BT160+1,BT160)&gt;55,"",IF(COUNTIF($BT$4:BT160,BT160)&gt;=MAX($D$4:$D$8),BT160+1,BT160))</f>
        <v>#VALUE!</v>
      </c>
      <c r="BU161" s="1" t="e">
        <f t="shared" si="130"/>
        <v>#VALUE!</v>
      </c>
      <c r="BV161" s="8" t="str">
        <f t="shared" si="131"/>
        <v/>
      </c>
      <c r="BX161" s="71" t="e">
        <f t="shared" si="132"/>
        <v>#VALUE!</v>
      </c>
      <c r="BY161" s="71" t="str">
        <f>IF(OR(COUNTBLANK(CB161)=1,ISERROR(CB161)),"",COUNT($CB$4:CB161))</f>
        <v/>
      </c>
      <c r="BZ161" s="7" t="e">
        <f t="shared" si="133"/>
        <v>#VALUE!</v>
      </c>
      <c r="CA161" s="1" t="str">
        <f t="shared" si="134"/>
        <v/>
      </c>
      <c r="CB161" s="79" t="e">
        <f>IF(IF(COUNTIF($CB$4:CB160,CB159)&gt;=MAX($D$4:$D$8),CB159+2,CB159)&gt;55,"",IF(COUNTIF($CB$4:CB160,CB159)&gt;=MAX($D$4:$D$8),CB159+2,CB159))</f>
        <v>#VALUE!</v>
      </c>
      <c r="CC161" s="1" t="e">
        <f t="shared" si="135"/>
        <v>#VALUE!</v>
      </c>
      <c r="CD161" s="8" t="str">
        <f t="shared" si="136"/>
        <v/>
      </c>
      <c r="CF161" s="71" t="e">
        <f t="shared" si="149"/>
        <v>#VALUE!</v>
      </c>
      <c r="CG161" s="71" t="str">
        <f>IF(OR(COUNTBLANK(CJ161)=1,ISERROR(CJ161)),"",COUNT($CJ$4:CJ161))</f>
        <v/>
      </c>
      <c r="CH161" s="7" t="e">
        <f t="shared" si="150"/>
        <v>#VALUE!</v>
      </c>
      <c r="CI161" s="1" t="str">
        <f t="shared" si="151"/>
        <v/>
      </c>
      <c r="CJ161" s="79" t="e">
        <f>IF(IF(COUNTIF($CJ$4:CJ160,CJ158)&gt;=MAX($D$4:$D$8),CJ158+3,CJ158)&gt;55,"",IF(COUNTIF($CJ$4:CJ160,CJ158)&gt;=MAX($D$4:$D$8),CJ158+3,CJ158))</f>
        <v>#VALUE!</v>
      </c>
      <c r="CK161" s="1" t="e">
        <f t="shared" si="137"/>
        <v>#VALUE!</v>
      </c>
      <c r="CL161" s="8" t="str">
        <f t="shared" si="152"/>
        <v/>
      </c>
      <c r="CN161" s="71" t="e">
        <f t="shared" si="143"/>
        <v>#VALUE!</v>
      </c>
      <c r="CO161" s="71" t="str">
        <f>IF(OR(COUNTBLANK(CR161)=1,ISERROR(CR161)),"",COUNT($CR$4:CR161))</f>
        <v/>
      </c>
      <c r="CP161" s="7" t="e">
        <f t="shared" si="144"/>
        <v>#VALUE!</v>
      </c>
      <c r="CQ161" s="1" t="str">
        <f t="shared" si="145"/>
        <v/>
      </c>
      <c r="CR161" s="79" t="e">
        <f>IF(IF(COUNTIF($CR$4:CR160,CR157)&gt;=MAX($D$4:$D$8),CR157+4,CR157)&gt;55,"",IF(COUNTIF($CR$4:CR160,CR157)&gt;=MAX($D$4:$D$8),CR157+4,CR157))</f>
        <v>#VALUE!</v>
      </c>
      <c r="CS161" s="1" t="e">
        <f t="shared" si="138"/>
        <v>#VALUE!</v>
      </c>
      <c r="CT161" s="8" t="str">
        <f t="shared" si="146"/>
        <v/>
      </c>
      <c r="CV161" s="71" t="e">
        <f t="shared" si="153"/>
        <v>#VALUE!</v>
      </c>
      <c r="CW161" s="71" t="str">
        <f>IF(OR(COUNTBLANK(CZ161)=1,ISERROR(CZ161)),"",COUNT($CZ$4:CZ161))</f>
        <v/>
      </c>
      <c r="CX161" s="7" t="e">
        <f t="shared" si="154"/>
        <v>#VALUE!</v>
      </c>
      <c r="CY161" s="1" t="str">
        <f t="shared" si="155"/>
        <v/>
      </c>
      <c r="CZ161" s="79" t="e">
        <f>IF(IF(COUNTIF($CZ$4:CZ160,CZ156)&gt;=MAX($D$4:$D$8),CZ156+5,CZ156)&gt;55,"",IF(COUNTIF($CZ$4:CZ160,CZ156)&gt;=MAX($D$4:$D$8),CZ156+5,CZ156))</f>
        <v>#VALUE!</v>
      </c>
      <c r="DA161" s="1" t="e">
        <f t="shared" si="139"/>
        <v>#VALUE!</v>
      </c>
      <c r="DB161" s="8" t="str">
        <f t="shared" si="156"/>
        <v/>
      </c>
    </row>
    <row r="162" spans="5:106" x14ac:dyDescent="0.15">
      <c r="E162" s="1">
        <v>159</v>
      </c>
      <c r="F162" s="1">
        <f t="shared" si="140"/>
        <v>1</v>
      </c>
      <c r="G162" s="1">
        <f t="shared" si="147"/>
        <v>1</v>
      </c>
      <c r="H162" s="1">
        <f t="shared" si="141"/>
        <v>1</v>
      </c>
      <c r="I162" s="1">
        <f t="shared" si="142"/>
        <v>1</v>
      </c>
      <c r="J162" s="1">
        <f t="shared" si="148"/>
        <v>1</v>
      </c>
      <c r="L162" s="1" t="str">
        <f>IF(ISERROR(HLOOKUP($C$10,$F$3:$J$253,160,0)),"",HLOOKUP($C$10,$F$3:$J$253,160,0))</f>
        <v/>
      </c>
      <c r="N162" s="67"/>
      <c r="W162" s="71" t="e">
        <f>IF(AA162="","",AA162*10+4)</f>
        <v>#VALUE!</v>
      </c>
      <c r="X162" s="71" t="str">
        <f>IF(OR(COUNTBLANK(AA162)=1,ISERROR(AA162)),"",COUNT(AA4:AA162))</f>
        <v/>
      </c>
      <c r="Y162" s="7" t="e">
        <f t="shared" si="113"/>
        <v>#VALUE!</v>
      </c>
      <c r="Z162" s="1" t="str">
        <f t="shared" si="127"/>
        <v/>
      </c>
      <c r="AA162" s="79" t="e">
        <f>IF(IF(COUNTIF(AA4:AA161,AA161)&gt;=MAX(D4:D8),AA161+1,AA161)&gt;50,"",IF(COUNTIF(AA4:AA161,AA161)&gt;=MAX(D4:D8),AA161+1,AA161))</f>
        <v>#VALUE!</v>
      </c>
      <c r="AB162" s="1" t="e">
        <f>IF(AA162="","",VLOOKUP(AA162,S4:U53,3,0))</f>
        <v>#VALUE!</v>
      </c>
      <c r="AC162" s="8" t="str">
        <f t="shared" si="114"/>
        <v/>
      </c>
      <c r="AE162" s="71" t="e">
        <f t="shared" si="115"/>
        <v>#VALUE!</v>
      </c>
      <c r="AF162" s="71" t="str">
        <f>IF(OR(COUNTBLANK(AI162)=1,ISERROR(AI162)),"",COUNT(AI4:AI162))</f>
        <v/>
      </c>
      <c r="AG162" s="7" t="e">
        <f t="shared" si="116"/>
        <v>#VALUE!</v>
      </c>
      <c r="AH162" s="1" t="str">
        <f>IF(ISERROR(INDEX(C4:C8,MATCH(G162,D4:D8,0))),"",INDEX(C4:C8,MATCH(G162,D4:D8,0)))</f>
        <v/>
      </c>
      <c r="AI162" s="79" t="e">
        <f>IF(IF(COUNTIF(AI4:AI161,AI160)&gt;=MAX(D4:D8),AI160+2,AI160)&gt;50,"",IF(COUNTIF(AI4:AI161,AI160)&gt;=MAX(D4:D8),AI160+2,AI160))</f>
        <v>#VALUE!</v>
      </c>
      <c r="AJ162" s="1" t="e">
        <f>IF(AI162="","",VLOOKUP(AI162,S4:U53,3,0))</f>
        <v>#VALUE!</v>
      </c>
      <c r="AK162" s="8" t="str">
        <f t="shared" si="117"/>
        <v/>
      </c>
      <c r="AM162" s="71" t="e">
        <f t="shared" si="118"/>
        <v>#VALUE!</v>
      </c>
      <c r="AN162" s="71" t="str">
        <f>IF(OR(COUNTBLANK(AQ162)=1,ISERROR(AQ162)),"",COUNT(AQ4:AQ162))</f>
        <v/>
      </c>
      <c r="AO162" s="7" t="e">
        <f t="shared" si="119"/>
        <v>#VALUE!</v>
      </c>
      <c r="AP162" s="1" t="str">
        <f>IF(ISERROR(INDEX(C4:C8,MATCH(H162,D4:D8,0))),"",INDEX(C4:C8,MATCH(H162,D4:D8,0)))</f>
        <v/>
      </c>
      <c r="AQ162" s="79" t="e">
        <f>IF(IF(COUNTIF(AQ4:AQ161,AQ159)&gt;=MAX(D4:D8),AQ159+3,AQ159)&gt;50,"",IF(COUNTIF(AQ4:AQ161,AQ159)&gt;=MAX(D4:D8),AQ159+3,AQ159))</f>
        <v>#VALUE!</v>
      </c>
      <c r="AR162" s="1" t="e">
        <f>IF(AQ162="","",VLOOKUP(AQ162,S4:U53,3,0))</f>
        <v>#VALUE!</v>
      </c>
      <c r="AS162" s="8" t="str">
        <f t="shared" si="120"/>
        <v/>
      </c>
      <c r="AU162" s="71" t="e">
        <f t="shared" si="121"/>
        <v>#VALUE!</v>
      </c>
      <c r="AV162" s="71" t="str">
        <f>IF(OR(COUNTBLANK(AY162)=1,ISERROR(AY162)),"",COUNT(AY4:AY162))</f>
        <v/>
      </c>
      <c r="AW162" s="7" t="e">
        <f t="shared" si="122"/>
        <v>#VALUE!</v>
      </c>
      <c r="AX162" s="1" t="str">
        <f>IF(ISERROR(INDEX(C4:C8,MATCH(I162,D4:D8,0))),"",INDEX(C4:C8,MATCH(I162,D4:D8,0)))</f>
        <v/>
      </c>
      <c r="AY162" s="79" t="e">
        <f>IF(IF(COUNTIF(AY4:AY161,AY158)&gt;=MAX(D4:D8),AY158+4,AY158)&gt;50,"",IF(COUNTIF(AY4:AY161,AY158)&gt;=MAX(D4:D8),AY158+4,AY158))</f>
        <v>#VALUE!</v>
      </c>
      <c r="AZ162" s="76" t="e">
        <f>IF(AY162="","",VLOOKUP(AY162,S4:U53,3,0))</f>
        <v>#VALUE!</v>
      </c>
      <c r="BA162" s="8" t="str">
        <f t="shared" si="123"/>
        <v/>
      </c>
      <c r="BC162" s="71" t="e">
        <f t="shared" si="124"/>
        <v>#VALUE!</v>
      </c>
      <c r="BD162" s="71" t="str">
        <f>IF(OR(COUNTBLANK(BG162)=1,ISERROR(BG162)),"",COUNT(BG4:BG162))</f>
        <v/>
      </c>
      <c r="BE162" s="7" t="e">
        <f t="shared" si="125"/>
        <v>#VALUE!</v>
      </c>
      <c r="BF162" s="1" t="str">
        <f>IF(ISERROR(INDEX(C4:C8,MATCH(J162,D4:D8,0))),"",INDEX(C4:C8,MATCH(J162,D4:D8,0)))</f>
        <v/>
      </c>
      <c r="BG162" s="79" t="e">
        <f>IF(IF(COUNTIF(BG4:BG161,BG157)&gt;=MAX(D4:D8),BG157+5,BG157)&gt;50,"",IF(COUNTIF(BG4:BG161,BG157)&gt;=MAX(D4:D8),BG157+5,BG157))</f>
        <v>#VALUE!</v>
      </c>
      <c r="BH162" s="76" t="e">
        <f>IF(BG162="","",VLOOKUP(BG162,S4:U53,3,0))</f>
        <v>#VALUE!</v>
      </c>
      <c r="BI162" s="8" t="str">
        <f t="shared" si="126"/>
        <v/>
      </c>
      <c r="BP162" s="71" t="e">
        <f>IF(BT162="","",BT162*10+4)</f>
        <v>#VALUE!</v>
      </c>
      <c r="BQ162" s="71" t="str">
        <f>IF(OR(COUNTBLANK(BT162)=1,ISERROR(BT162)),"",COUNT(BT4:BT162))</f>
        <v/>
      </c>
      <c r="BR162" s="7" t="e">
        <f t="shared" si="128"/>
        <v>#VALUE!</v>
      </c>
      <c r="BS162" s="1" t="str">
        <f t="shared" si="129"/>
        <v/>
      </c>
      <c r="BT162" s="79" t="e">
        <f>IF(IF(COUNTIF($BT$4:BT161,BT161)&gt;=MAX($D$4:$D$8),BT161+1,BT161)&gt;55,"",IF(COUNTIF($BT$4:BT161,BT161)&gt;=MAX($D$4:$D$8),BT161+1,BT161))</f>
        <v>#VALUE!</v>
      </c>
      <c r="BU162" s="1" t="e">
        <f t="shared" si="130"/>
        <v>#VALUE!</v>
      </c>
      <c r="BV162" s="8" t="str">
        <f t="shared" si="131"/>
        <v/>
      </c>
      <c r="BX162" s="71" t="e">
        <f t="shared" si="132"/>
        <v>#VALUE!</v>
      </c>
      <c r="BY162" s="71" t="str">
        <f>IF(OR(COUNTBLANK(CB162)=1,ISERROR(CB162)),"",COUNT($CB$4:CB162))</f>
        <v/>
      </c>
      <c r="BZ162" s="7" t="e">
        <f t="shared" si="133"/>
        <v>#VALUE!</v>
      </c>
      <c r="CA162" s="1" t="str">
        <f t="shared" si="134"/>
        <v/>
      </c>
      <c r="CB162" s="79" t="e">
        <f>IF(IF(COUNTIF($CB$4:CB161,CB160)&gt;=MAX($D$4:$D$8),CB160+2,CB160)&gt;55,"",IF(COUNTIF($CB$4:CB161,CB160)&gt;=MAX($D$4:$D$8),CB160+2,CB160))</f>
        <v>#VALUE!</v>
      </c>
      <c r="CC162" s="1" t="e">
        <f t="shared" si="135"/>
        <v>#VALUE!</v>
      </c>
      <c r="CD162" s="8" t="str">
        <f t="shared" si="136"/>
        <v/>
      </c>
      <c r="CF162" s="71" t="e">
        <f t="shared" si="149"/>
        <v>#VALUE!</v>
      </c>
      <c r="CG162" s="71" t="str">
        <f>IF(OR(COUNTBLANK(CJ162)=1,ISERROR(CJ162)),"",COUNT($CJ$4:CJ162))</f>
        <v/>
      </c>
      <c r="CH162" s="7" t="e">
        <f t="shared" si="150"/>
        <v>#VALUE!</v>
      </c>
      <c r="CI162" s="1" t="str">
        <f t="shared" si="151"/>
        <v/>
      </c>
      <c r="CJ162" s="79" t="e">
        <f>IF(IF(COUNTIF($CJ$4:CJ161,CJ159)&gt;=MAX($D$4:$D$8),CJ159+3,CJ159)&gt;55,"",IF(COUNTIF($CJ$4:CJ161,CJ159)&gt;=MAX($D$4:$D$8),CJ159+3,CJ159))</f>
        <v>#VALUE!</v>
      </c>
      <c r="CK162" s="1" t="e">
        <f t="shared" si="137"/>
        <v>#VALUE!</v>
      </c>
      <c r="CL162" s="8" t="str">
        <f t="shared" si="152"/>
        <v/>
      </c>
      <c r="CN162" s="71" t="e">
        <f t="shared" si="143"/>
        <v>#VALUE!</v>
      </c>
      <c r="CO162" s="71" t="str">
        <f>IF(OR(COUNTBLANK(CR162)=1,ISERROR(CR162)),"",COUNT($CR$4:CR162))</f>
        <v/>
      </c>
      <c r="CP162" s="7" t="e">
        <f t="shared" si="144"/>
        <v>#VALUE!</v>
      </c>
      <c r="CQ162" s="1" t="str">
        <f t="shared" si="145"/>
        <v/>
      </c>
      <c r="CR162" s="79" t="e">
        <f>IF(IF(COUNTIF($CR$4:CR161,CR158)&gt;=MAX($D$4:$D$8),CR158+4,CR158)&gt;55,"",IF(COUNTIF($CR$4:CR161,CR158)&gt;=MAX($D$4:$D$8),CR158+4,CR158))</f>
        <v>#VALUE!</v>
      </c>
      <c r="CS162" s="1" t="e">
        <f t="shared" si="138"/>
        <v>#VALUE!</v>
      </c>
      <c r="CT162" s="8" t="str">
        <f t="shared" si="146"/>
        <v/>
      </c>
      <c r="CV162" s="71" t="e">
        <f t="shared" si="153"/>
        <v>#VALUE!</v>
      </c>
      <c r="CW162" s="71" t="str">
        <f>IF(OR(COUNTBLANK(CZ162)=1,ISERROR(CZ162)),"",COUNT($CZ$4:CZ162))</f>
        <v/>
      </c>
      <c r="CX162" s="7" t="e">
        <f t="shared" si="154"/>
        <v>#VALUE!</v>
      </c>
      <c r="CY162" s="1" t="str">
        <f t="shared" si="155"/>
        <v/>
      </c>
      <c r="CZ162" s="79" t="e">
        <f>IF(IF(COUNTIF($CZ$4:CZ161,CZ157)&gt;=MAX($D$4:$D$8),CZ157+5,CZ157)&gt;55,"",IF(COUNTIF($CZ$4:CZ161,CZ157)&gt;=MAX($D$4:$D$8),CZ157+5,CZ157))</f>
        <v>#VALUE!</v>
      </c>
      <c r="DA162" s="1" t="e">
        <f t="shared" si="139"/>
        <v>#VALUE!</v>
      </c>
      <c r="DB162" s="8" t="str">
        <f t="shared" si="156"/>
        <v/>
      </c>
    </row>
    <row r="163" spans="5:106" x14ac:dyDescent="0.15">
      <c r="E163" s="1">
        <v>160</v>
      </c>
      <c r="F163" s="1">
        <f t="shared" si="140"/>
        <v>1</v>
      </c>
      <c r="G163" s="1">
        <f t="shared" si="147"/>
        <v>1</v>
      </c>
      <c r="H163" s="1">
        <f t="shared" si="141"/>
        <v>1</v>
      </c>
      <c r="I163" s="1">
        <f t="shared" si="142"/>
        <v>1</v>
      </c>
      <c r="J163" s="1">
        <f t="shared" si="148"/>
        <v>1</v>
      </c>
      <c r="L163" s="1" t="str">
        <f>IF(ISERROR(HLOOKUP($C$10,$F$3:$J$253,161,0)),"",HLOOKUP($C$10,$F$3:$J$253,161,0))</f>
        <v/>
      </c>
      <c r="N163" s="67"/>
      <c r="W163" s="71" t="e">
        <f>IF(AA163="","",AA163*10+5)</f>
        <v>#VALUE!</v>
      </c>
      <c r="X163" s="71" t="str">
        <f>IF(OR(COUNTBLANK(AA163)=1,ISERROR(AA163)),"",COUNT(AA4:AA163))</f>
        <v/>
      </c>
      <c r="Y163" s="7" t="e">
        <f t="shared" si="113"/>
        <v>#VALUE!</v>
      </c>
      <c r="Z163" s="1" t="str">
        <f t="shared" si="127"/>
        <v/>
      </c>
      <c r="AA163" s="79" t="e">
        <f>IF(IF(COUNTIF(AA4:AA162,AA162)&gt;=MAX(D4:D8),AA162+1,AA162)&gt;50,"",IF(COUNTIF(AA4:AA162,AA162)&gt;=MAX(D4:D8),AA162+1,AA162))</f>
        <v>#VALUE!</v>
      </c>
      <c r="AB163" s="1" t="e">
        <f>IF(AA163="","",VLOOKUP(AA163,S4:U53,3,0))</f>
        <v>#VALUE!</v>
      </c>
      <c r="AC163" s="8" t="str">
        <f t="shared" si="114"/>
        <v/>
      </c>
      <c r="AE163" s="71" t="e">
        <f t="shared" si="115"/>
        <v>#VALUE!</v>
      </c>
      <c r="AF163" s="71" t="str">
        <f>IF(OR(COUNTBLANK(AI163)=1,ISERROR(AI163)),"",COUNT(AI4:AI163))</f>
        <v/>
      </c>
      <c r="AG163" s="7" t="e">
        <f t="shared" si="116"/>
        <v>#VALUE!</v>
      </c>
      <c r="AH163" s="1" t="str">
        <f>IF(ISERROR(INDEX(C4:C8,MATCH(G163,D4:D8,0))),"",INDEX(C4:C8,MATCH(G163,D4:D8,0)))</f>
        <v/>
      </c>
      <c r="AI163" s="79" t="e">
        <f>IF(IF(COUNTIF(AI4:AI161,AI161)&gt;=MAX(D4:D8),AI161+2,AI161)&gt;50,"",IF(COUNTIF(AI4:AI161,AI161)&gt;=MAX(D4:D8),AI161+2,AI161))</f>
        <v>#VALUE!</v>
      </c>
      <c r="AJ163" s="1" t="e">
        <f>IF(AI163="","",VLOOKUP(AI163,S4:U53,3,0))</f>
        <v>#VALUE!</v>
      </c>
      <c r="AK163" s="8" t="str">
        <f t="shared" si="117"/>
        <v/>
      </c>
      <c r="AM163" s="71" t="e">
        <f t="shared" si="118"/>
        <v>#VALUE!</v>
      </c>
      <c r="AN163" s="71" t="str">
        <f>IF(OR(COUNTBLANK(AQ163)=1,ISERROR(AQ163)),"",COUNT(AQ4:AQ163))</f>
        <v/>
      </c>
      <c r="AO163" s="7" t="e">
        <f t="shared" si="119"/>
        <v>#VALUE!</v>
      </c>
      <c r="AP163" s="1" t="str">
        <f>IF(ISERROR(INDEX(C4:C8,MATCH(H163,D4:D8,0))),"",INDEX(C4:C8,MATCH(H163,D4:D8,0)))</f>
        <v/>
      </c>
      <c r="AQ163" s="79" t="e">
        <f>IF(IF(COUNTIF(AQ4:AQ162,AQ160)&gt;=MAX(D4:D8),AQ160+3,AQ160)&gt;50,"",IF(COUNTIF(AQ4:AQ162,AQ160)&gt;=MAX(D4:D8),AQ160+3,AQ160))</f>
        <v>#VALUE!</v>
      </c>
      <c r="AR163" s="1" t="e">
        <f>IF(AQ163="","",VLOOKUP(AQ163,S4:U53,3,0))</f>
        <v>#VALUE!</v>
      </c>
      <c r="AS163" s="8" t="str">
        <f t="shared" si="120"/>
        <v/>
      </c>
      <c r="AU163" s="71" t="e">
        <f t="shared" si="121"/>
        <v>#VALUE!</v>
      </c>
      <c r="AV163" s="71" t="str">
        <f>IF(OR(COUNTBLANK(AY163)=1,ISERROR(AY163)),"",COUNT(AY4:AY163))</f>
        <v/>
      </c>
      <c r="AW163" s="7" t="e">
        <f t="shared" si="122"/>
        <v>#VALUE!</v>
      </c>
      <c r="AX163" s="1" t="str">
        <f>IF(ISERROR(INDEX(C4:C8,MATCH(I163,D4:D8,0))),"",INDEX(C4:C8,MATCH(I163,D4:D8,0)))</f>
        <v/>
      </c>
      <c r="AY163" s="79" t="e">
        <f>IF(IF(COUNTIF(AY4:AY162,AY159)&gt;=MAX(D4:D8),AY159+4,AY159)&gt;50,"",IF(COUNTIF(AY4:AY162,AY159)&gt;=MAX(D4:D8),AY159+4,AY159))</f>
        <v>#VALUE!</v>
      </c>
      <c r="AZ163" s="76" t="e">
        <f>IF(AY163="","",VLOOKUP(AY163,S4:U53,3,0))</f>
        <v>#VALUE!</v>
      </c>
      <c r="BA163" s="8" t="str">
        <f t="shared" si="123"/>
        <v/>
      </c>
      <c r="BC163" s="71" t="e">
        <f t="shared" si="124"/>
        <v>#VALUE!</v>
      </c>
      <c r="BD163" s="71" t="str">
        <f>IF(OR(COUNTBLANK(BG163)=1,ISERROR(BG163)),"",COUNT(BG4:BG163))</f>
        <v/>
      </c>
      <c r="BE163" s="7" t="e">
        <f t="shared" si="125"/>
        <v>#VALUE!</v>
      </c>
      <c r="BF163" s="1" t="str">
        <f>IF(ISERROR(INDEX(C4:C8,MATCH(J163,D4:D8,0))),"",INDEX(C4:C8,MATCH(J163,D4:D8,0)))</f>
        <v/>
      </c>
      <c r="BG163" s="79" t="e">
        <f>IF(IF(COUNTIF(BG4:BG162,BG158)&gt;=MAX(D4:D8),BG158+5,BG158)&gt;50,"",IF(COUNTIF(BG4:BG162,BG158)&gt;=MAX(D4:D8),BG158+5,BG158))</f>
        <v>#VALUE!</v>
      </c>
      <c r="BH163" s="76" t="e">
        <f>IF(BG163="","",VLOOKUP(BG163,S4:U53,3,0))</f>
        <v>#VALUE!</v>
      </c>
      <c r="BI163" s="8" t="str">
        <f t="shared" si="126"/>
        <v/>
      </c>
      <c r="BP163" s="71" t="e">
        <f>IF(BT163="","",BT163*10+5)</f>
        <v>#VALUE!</v>
      </c>
      <c r="BQ163" s="71" t="str">
        <f>IF(OR(COUNTBLANK(BT163)=1,ISERROR(BT163)),"",COUNT(BT4:BT163))</f>
        <v/>
      </c>
      <c r="BR163" s="7" t="e">
        <f t="shared" si="128"/>
        <v>#VALUE!</v>
      </c>
      <c r="BS163" s="1" t="str">
        <f t="shared" si="129"/>
        <v/>
      </c>
      <c r="BT163" s="79" t="e">
        <f>IF(IF(COUNTIF($BT$4:BT162,BT162)&gt;=MAX($D$4:$D$8),BT162+1,BT162)&gt;55,"",IF(COUNTIF($BT$4:BT162,BT162)&gt;=MAX($D$4:$D$8),BT162+1,BT162))</f>
        <v>#VALUE!</v>
      </c>
      <c r="BU163" s="1" t="e">
        <f t="shared" si="130"/>
        <v>#VALUE!</v>
      </c>
      <c r="BV163" s="8" t="str">
        <f t="shared" si="131"/>
        <v/>
      </c>
      <c r="BX163" s="71" t="e">
        <f t="shared" si="132"/>
        <v>#VALUE!</v>
      </c>
      <c r="BY163" s="71" t="str">
        <f>IF(OR(COUNTBLANK(CB163)=1,ISERROR(CB163)),"",COUNT($CB$4:CB163))</f>
        <v/>
      </c>
      <c r="BZ163" s="7" t="e">
        <f t="shared" si="133"/>
        <v>#VALUE!</v>
      </c>
      <c r="CA163" s="1" t="str">
        <f t="shared" si="134"/>
        <v/>
      </c>
      <c r="CB163" s="79" t="e">
        <f>IF(IF(COUNTIF($CB$4:CB162,CB161)&gt;=MAX($D$4:$D$8),CB161+2,CB161)&gt;55,"",IF(COUNTIF($CB$4:CB162,CB161)&gt;=MAX($D$4:$D$8),CB161+2,CB161))</f>
        <v>#VALUE!</v>
      </c>
      <c r="CC163" s="1" t="e">
        <f t="shared" si="135"/>
        <v>#VALUE!</v>
      </c>
      <c r="CD163" s="8" t="str">
        <f t="shared" si="136"/>
        <v/>
      </c>
      <c r="CF163" s="71" t="e">
        <f t="shared" si="149"/>
        <v>#VALUE!</v>
      </c>
      <c r="CG163" s="71" t="str">
        <f>IF(OR(COUNTBLANK(CJ163)=1,ISERROR(CJ163)),"",COUNT($CJ$4:CJ163))</f>
        <v/>
      </c>
      <c r="CH163" s="7" t="e">
        <f t="shared" si="150"/>
        <v>#VALUE!</v>
      </c>
      <c r="CI163" s="1" t="str">
        <f t="shared" si="151"/>
        <v/>
      </c>
      <c r="CJ163" s="79" t="e">
        <f>IF(IF(COUNTIF($CJ$4:CJ162,CJ160)&gt;=MAX($D$4:$D$8),CJ160+3,CJ160)&gt;55,"",IF(COUNTIF($CJ$4:CJ162,CJ160)&gt;=MAX($D$4:$D$8),CJ160+3,CJ160))</f>
        <v>#VALUE!</v>
      </c>
      <c r="CK163" s="1" t="e">
        <f t="shared" si="137"/>
        <v>#VALUE!</v>
      </c>
      <c r="CL163" s="8" t="str">
        <f t="shared" si="152"/>
        <v/>
      </c>
      <c r="CN163" s="71" t="e">
        <f t="shared" si="143"/>
        <v>#VALUE!</v>
      </c>
      <c r="CO163" s="71" t="str">
        <f>IF(OR(COUNTBLANK(CR163)=1,ISERROR(CR163)),"",COUNT($CR$4:CR163))</f>
        <v/>
      </c>
      <c r="CP163" s="7" t="e">
        <f t="shared" si="144"/>
        <v>#VALUE!</v>
      </c>
      <c r="CQ163" s="1" t="str">
        <f t="shared" si="145"/>
        <v/>
      </c>
      <c r="CR163" s="79" t="e">
        <f>IF(IF(COUNTIF($CR$4:CR162,CR159)&gt;=MAX($D$4:$D$8),CR159+4,CR159)&gt;55,"",IF(COUNTIF($CR$4:CR162,CR159)&gt;=MAX($D$4:$D$8),CR159+4,CR159))</f>
        <v>#VALUE!</v>
      </c>
      <c r="CS163" s="1" t="e">
        <f t="shared" si="138"/>
        <v>#VALUE!</v>
      </c>
      <c r="CT163" s="8" t="str">
        <f t="shared" si="146"/>
        <v/>
      </c>
      <c r="CV163" s="71" t="e">
        <f t="shared" si="153"/>
        <v>#VALUE!</v>
      </c>
      <c r="CW163" s="71" t="str">
        <f>IF(OR(COUNTBLANK(CZ163)=1,ISERROR(CZ163)),"",COUNT($CZ$4:CZ163))</f>
        <v/>
      </c>
      <c r="CX163" s="7" t="e">
        <f t="shared" si="154"/>
        <v>#VALUE!</v>
      </c>
      <c r="CY163" s="1" t="str">
        <f t="shared" si="155"/>
        <v/>
      </c>
      <c r="CZ163" s="79" t="e">
        <f>IF(IF(COUNTIF($CZ$4:CZ162,CZ158)&gt;=MAX($D$4:$D$8),CZ158+5,CZ158)&gt;55,"",IF(COUNTIF($CZ$4:CZ162,CZ158)&gt;=MAX($D$4:$D$8),CZ158+5,CZ158))</f>
        <v>#VALUE!</v>
      </c>
      <c r="DA163" s="1" t="e">
        <f t="shared" si="139"/>
        <v>#VALUE!</v>
      </c>
      <c r="DB163" s="8" t="str">
        <f t="shared" si="156"/>
        <v/>
      </c>
    </row>
    <row r="164" spans="5:106" x14ac:dyDescent="0.15">
      <c r="E164" s="1">
        <v>161</v>
      </c>
      <c r="F164" s="1">
        <f t="shared" si="140"/>
        <v>1</v>
      </c>
      <c r="G164" s="1">
        <f t="shared" si="147"/>
        <v>1</v>
      </c>
      <c r="H164" s="1">
        <f t="shared" si="141"/>
        <v>1</v>
      </c>
      <c r="I164" s="1">
        <f t="shared" si="142"/>
        <v>1</v>
      </c>
      <c r="J164" s="1">
        <f t="shared" si="148"/>
        <v>1</v>
      </c>
      <c r="L164" s="1" t="str">
        <f>IF(ISERROR(HLOOKUP($C$10,$F$3:$J$253,162,0)),"",HLOOKUP($C$10,$F$3:$J$253,162,0))</f>
        <v/>
      </c>
      <c r="N164" s="67"/>
      <c r="W164" s="71" t="e">
        <f>IF(AA164="","",AA164*10+1)</f>
        <v>#VALUE!</v>
      </c>
      <c r="X164" s="71" t="str">
        <f>IF(OR(COUNTBLANK(AA164)=1,ISERROR(AA164)),"",COUNT(AA4:AA164))</f>
        <v/>
      </c>
      <c r="Y164" s="7" t="e">
        <f t="shared" si="113"/>
        <v>#VALUE!</v>
      </c>
      <c r="Z164" s="1" t="str">
        <f t="shared" si="127"/>
        <v/>
      </c>
      <c r="AA164" s="79" t="e">
        <f>IF(IF(COUNTIF(AA4:AA163,AA163)&gt;=MAX(D4:D8),AA163+1,AA163)&gt;50,"",IF(COUNTIF(AA4:AA163,AA163)&gt;=MAX(D4:D8),AA163+1,AA163))</f>
        <v>#VALUE!</v>
      </c>
      <c r="AB164" s="1" t="e">
        <f>IF(AA164="","",VLOOKUP(AA164,S4:U53,3,0))</f>
        <v>#VALUE!</v>
      </c>
      <c r="AC164" s="8" t="str">
        <f t="shared" si="114"/>
        <v/>
      </c>
      <c r="AE164" s="71" t="e">
        <f t="shared" si="115"/>
        <v>#VALUE!</v>
      </c>
      <c r="AF164" s="71" t="str">
        <f>IF(OR(COUNTBLANK(AI164)=1,ISERROR(AI164)),"",COUNT(AI4:AI164))</f>
        <v/>
      </c>
      <c r="AG164" s="7" t="e">
        <f t="shared" si="116"/>
        <v>#VALUE!</v>
      </c>
      <c r="AH164" s="1" t="str">
        <f>IF(ISERROR(INDEX(C4:C8,MATCH(G164,D4:D8,0))),"",INDEX(C4:C8,MATCH(G164,D4:D8,0)))</f>
        <v/>
      </c>
      <c r="AI164" s="79" t="e">
        <f>IF(IF(COUNTIF(AI4:AI163,AI162)&gt;=MAX(D4:D8),AI162+2,AI162)&gt;50,"",IF(COUNTIF(AI4:AI163,AI162)&gt;=MAX(D4:D8),AI162+2,AI162))</f>
        <v>#VALUE!</v>
      </c>
      <c r="AJ164" s="1" t="e">
        <f>IF(AI164="","",VLOOKUP(AI164,S4:U53,3,0))</f>
        <v>#VALUE!</v>
      </c>
      <c r="AK164" s="8" t="str">
        <f t="shared" si="117"/>
        <v/>
      </c>
      <c r="AM164" s="71" t="e">
        <f t="shared" si="118"/>
        <v>#VALUE!</v>
      </c>
      <c r="AN164" s="71" t="str">
        <f>IF(OR(COUNTBLANK(AQ164)=1,ISERROR(AQ164)),"",COUNT(AQ4:AQ164))</f>
        <v/>
      </c>
      <c r="AO164" s="7" t="e">
        <f t="shared" si="119"/>
        <v>#VALUE!</v>
      </c>
      <c r="AP164" s="1" t="str">
        <f>IF(ISERROR(INDEX(C4:C8,MATCH(H164,D4:D8,0))),"",INDEX(C4:C8,MATCH(H164,D4:D8,0)))</f>
        <v/>
      </c>
      <c r="AQ164" s="79" t="e">
        <f>IF(IF(COUNTIF(AQ4:AQ163,AQ161)&gt;=MAX(D4:D8),AQ161+3,AQ161)&gt;50,"",IF(COUNTIF(AQ4:AQ163,AQ161)&gt;=MAX(D4:D8),AQ161+3,AQ161))</f>
        <v>#VALUE!</v>
      </c>
      <c r="AR164" s="1" t="e">
        <f>IF(AQ164="","",VLOOKUP(AQ164,S4:U53,3,0))</f>
        <v>#VALUE!</v>
      </c>
      <c r="AS164" s="8" t="str">
        <f t="shared" si="120"/>
        <v/>
      </c>
      <c r="AU164" s="71" t="e">
        <f t="shared" si="121"/>
        <v>#VALUE!</v>
      </c>
      <c r="AV164" s="71" t="str">
        <f>IF(OR(COUNTBLANK(AY164)=1,ISERROR(AY164)),"",COUNT(AY4:AY164))</f>
        <v/>
      </c>
      <c r="AW164" s="7" t="e">
        <f t="shared" si="122"/>
        <v>#VALUE!</v>
      </c>
      <c r="AX164" s="1" t="str">
        <f>IF(ISERROR(INDEX(C4:C8,MATCH(I164,D4:D8,0))),"",INDEX(C4:C8,MATCH(I164,D4:D8,0)))</f>
        <v/>
      </c>
      <c r="AY164" s="79" t="e">
        <f>IF(IF(COUNTIF(AY4:AY163,AY160)&gt;=MAX(D4:D8),AY160+4,AY160)&gt;50,"",IF(COUNTIF(AY4:AY163,AY160)&gt;=MAX(D4:D8),AY160+4,AY160))</f>
        <v>#VALUE!</v>
      </c>
      <c r="AZ164" s="76" t="e">
        <f>IF(AY164="","",VLOOKUP(AY164,S4:U53,3,0))</f>
        <v>#VALUE!</v>
      </c>
      <c r="BA164" s="8" t="str">
        <f t="shared" si="123"/>
        <v/>
      </c>
      <c r="BC164" s="71" t="e">
        <f t="shared" si="124"/>
        <v>#VALUE!</v>
      </c>
      <c r="BD164" s="71" t="str">
        <f>IF(OR(COUNTBLANK(BG164)=1,ISERROR(BG164)),"",COUNT(BG4:BG164))</f>
        <v/>
      </c>
      <c r="BE164" s="7" t="e">
        <f t="shared" si="125"/>
        <v>#VALUE!</v>
      </c>
      <c r="BF164" s="1" t="str">
        <f>IF(ISERROR(INDEX(C4:C8,MATCH(J164,D4:D8,0))),"",INDEX(C4:C8,MATCH(J164,D4:D8,0)))</f>
        <v/>
      </c>
      <c r="BG164" s="79" t="e">
        <f>IF(IF(COUNTIF(BG4:BG163,BG159)&gt;=MAX(D4:D8),BG159+5,BG159)&gt;50,"",IF(COUNTIF(BG4:BG163,BG159)&gt;=MAX(D4:D8),BG159+5,BG159))</f>
        <v>#VALUE!</v>
      </c>
      <c r="BH164" s="76" t="e">
        <f>IF(BG164="","",VLOOKUP(BG164,S4:U53,3,0))</f>
        <v>#VALUE!</v>
      </c>
      <c r="BI164" s="8" t="str">
        <f t="shared" si="126"/>
        <v/>
      </c>
      <c r="BP164" s="71" t="e">
        <f>IF(BT164="","",BT164*10+1)</f>
        <v>#VALUE!</v>
      </c>
      <c r="BQ164" s="71" t="str">
        <f>IF(OR(COUNTBLANK(BT164)=1,ISERROR(BT164)),"",COUNT(BT4:BT164))</f>
        <v/>
      </c>
      <c r="BR164" s="7" t="e">
        <f t="shared" si="128"/>
        <v>#VALUE!</v>
      </c>
      <c r="BS164" s="1" t="str">
        <f t="shared" si="129"/>
        <v/>
      </c>
      <c r="BT164" s="79" t="e">
        <f>IF(IF(COUNTIF($BT$4:BT163,BT163)&gt;=MAX($D$4:$D$8),BT163+1,BT163)&gt;55,"",IF(COUNTIF($BT$4:BT163,BT163)&gt;=MAX($D$4:$D$8),BT163+1,BT163))</f>
        <v>#VALUE!</v>
      </c>
      <c r="BU164" s="1" t="e">
        <f t="shared" si="130"/>
        <v>#VALUE!</v>
      </c>
      <c r="BV164" s="8" t="str">
        <f t="shared" si="131"/>
        <v/>
      </c>
      <c r="BX164" s="71" t="e">
        <f t="shared" si="132"/>
        <v>#VALUE!</v>
      </c>
      <c r="BY164" s="71" t="str">
        <f>IF(OR(COUNTBLANK(CB164)=1,ISERROR(CB164)),"",COUNT($CB$4:CB164))</f>
        <v/>
      </c>
      <c r="BZ164" s="7" t="e">
        <f t="shared" si="133"/>
        <v>#VALUE!</v>
      </c>
      <c r="CA164" s="1" t="str">
        <f t="shared" si="134"/>
        <v/>
      </c>
      <c r="CB164" s="79" t="e">
        <f>IF(IF(COUNTIF($CB$4:CB163,CB162)&gt;=MAX($D$4:$D$8),CB162+2,CB162)&gt;55,"",IF(COUNTIF($CB$4:CB163,CB162)&gt;=MAX($D$4:$D$8),CB162+2,CB162))</f>
        <v>#VALUE!</v>
      </c>
      <c r="CC164" s="1" t="e">
        <f t="shared" si="135"/>
        <v>#VALUE!</v>
      </c>
      <c r="CD164" s="8" t="str">
        <f t="shared" si="136"/>
        <v/>
      </c>
      <c r="CF164" s="71" t="e">
        <f t="shared" si="149"/>
        <v>#VALUE!</v>
      </c>
      <c r="CG164" s="71" t="str">
        <f>IF(OR(COUNTBLANK(CJ164)=1,ISERROR(CJ164)),"",COUNT($CJ$4:CJ164))</f>
        <v/>
      </c>
      <c r="CH164" s="7" t="e">
        <f t="shared" si="150"/>
        <v>#VALUE!</v>
      </c>
      <c r="CI164" s="1" t="str">
        <f t="shared" si="151"/>
        <v/>
      </c>
      <c r="CJ164" s="79" t="e">
        <f>IF(IF(COUNTIF($CJ$4:CJ163,CJ161)&gt;=MAX($D$4:$D$8),CJ161+3,CJ161)&gt;55,"",IF(COUNTIF($CJ$4:CJ163,CJ161)&gt;=MAX($D$4:$D$8),CJ161+3,CJ161))</f>
        <v>#VALUE!</v>
      </c>
      <c r="CK164" s="1" t="e">
        <f t="shared" si="137"/>
        <v>#VALUE!</v>
      </c>
      <c r="CL164" s="8" t="str">
        <f t="shared" si="152"/>
        <v/>
      </c>
      <c r="CN164" s="71" t="e">
        <f t="shared" si="143"/>
        <v>#VALUE!</v>
      </c>
      <c r="CO164" s="71" t="str">
        <f>IF(OR(COUNTBLANK(CR164)=1,ISERROR(CR164)),"",COUNT($CR$4:CR164))</f>
        <v/>
      </c>
      <c r="CP164" s="7" t="e">
        <f t="shared" si="144"/>
        <v>#VALUE!</v>
      </c>
      <c r="CQ164" s="1" t="str">
        <f t="shared" si="145"/>
        <v/>
      </c>
      <c r="CR164" s="79" t="e">
        <f>IF(IF(COUNTIF($CR$4:CR163,CR160)&gt;=MAX($D$4:$D$8),CR160+4,CR160)&gt;55,"",IF(COUNTIF($CR$4:CR163,CR160)&gt;=MAX($D$4:$D$8),CR160+4,CR160))</f>
        <v>#VALUE!</v>
      </c>
      <c r="CS164" s="1" t="e">
        <f t="shared" si="138"/>
        <v>#VALUE!</v>
      </c>
      <c r="CT164" s="8" t="str">
        <f t="shared" si="146"/>
        <v/>
      </c>
      <c r="CV164" s="71" t="e">
        <f t="shared" si="153"/>
        <v>#VALUE!</v>
      </c>
      <c r="CW164" s="71" t="str">
        <f>IF(OR(COUNTBLANK(CZ164)=1,ISERROR(CZ164)),"",COUNT($CZ$4:CZ164))</f>
        <v/>
      </c>
      <c r="CX164" s="7" t="e">
        <f t="shared" si="154"/>
        <v>#VALUE!</v>
      </c>
      <c r="CY164" s="1" t="str">
        <f t="shared" si="155"/>
        <v/>
      </c>
      <c r="CZ164" s="79" t="e">
        <f>IF(IF(COUNTIF($CZ$4:CZ163,CZ159)&gt;=MAX($D$4:$D$8),CZ159+5,CZ159)&gt;55,"",IF(COUNTIF($CZ$4:CZ163,CZ159)&gt;=MAX($D$4:$D$8),CZ159+5,CZ159))</f>
        <v>#VALUE!</v>
      </c>
      <c r="DA164" s="1" t="e">
        <f t="shared" si="139"/>
        <v>#VALUE!</v>
      </c>
      <c r="DB164" s="8" t="str">
        <f t="shared" si="156"/>
        <v/>
      </c>
    </row>
    <row r="165" spans="5:106" x14ac:dyDescent="0.15">
      <c r="E165" s="1">
        <v>162</v>
      </c>
      <c r="F165" s="1">
        <f t="shared" si="140"/>
        <v>1</v>
      </c>
      <c r="G165" s="1">
        <f t="shared" si="147"/>
        <v>1</v>
      </c>
      <c r="H165" s="1">
        <f t="shared" si="141"/>
        <v>1</v>
      </c>
      <c r="I165" s="1">
        <f t="shared" si="142"/>
        <v>1</v>
      </c>
      <c r="J165" s="1">
        <f t="shared" si="148"/>
        <v>1</v>
      </c>
      <c r="L165" s="1" t="str">
        <f>IF(ISERROR(HLOOKUP($C$10,$F$3:$J$253,163,0)),"",HLOOKUP($C$10,$F$3:$J$253,163,0))</f>
        <v/>
      </c>
      <c r="N165" s="67"/>
      <c r="W165" s="71" t="e">
        <f>IF(AA165="","",AA165*10+2)</f>
        <v>#VALUE!</v>
      </c>
      <c r="X165" s="71" t="str">
        <f>IF(OR(COUNTBLANK(AA165)=1,ISERROR(AA165)),"",COUNT(AA4:AA165))</f>
        <v/>
      </c>
      <c r="Y165" s="7" t="e">
        <f t="shared" si="113"/>
        <v>#VALUE!</v>
      </c>
      <c r="Z165" s="1" t="str">
        <f t="shared" si="127"/>
        <v/>
      </c>
      <c r="AA165" s="79" t="e">
        <f>IF(IF(COUNTIF(AA4:AA164,AA164)&gt;=MAX(D4:D8),AA164+1,AA164)&gt;50,"",IF(COUNTIF(AA4:AA164,AA164)&gt;=MAX(D4:D8),AA164+1,AA164))</f>
        <v>#VALUE!</v>
      </c>
      <c r="AB165" s="1" t="e">
        <f>IF(AA165="","",VLOOKUP(AA165,S4:U53,3,0))</f>
        <v>#VALUE!</v>
      </c>
      <c r="AC165" s="8" t="str">
        <f t="shared" si="114"/>
        <v/>
      </c>
      <c r="AE165" s="71" t="e">
        <f t="shared" si="115"/>
        <v>#VALUE!</v>
      </c>
      <c r="AF165" s="71" t="str">
        <f>IF(OR(COUNTBLANK(AI165)=1,ISERROR(AI165)),"",COUNT(AI4:AI165))</f>
        <v/>
      </c>
      <c r="AG165" s="7" t="e">
        <f t="shared" si="116"/>
        <v>#VALUE!</v>
      </c>
      <c r="AH165" s="1" t="str">
        <f>IF(ISERROR(INDEX(C4:C8,MATCH(G165,D4:D8,0))),"",INDEX(C4:C8,MATCH(G165,D4:D8,0)))</f>
        <v/>
      </c>
      <c r="AI165" s="79" t="e">
        <f>IF(IF(COUNTIF(AI4:AI163,AI163)&gt;=MAX(D4:D8),AI163+2,AI163)&gt;50,"",IF(COUNTIF(AI4:AI163,AI163)&gt;=MAX(D4:D8),AI163+2,AI163))</f>
        <v>#VALUE!</v>
      </c>
      <c r="AJ165" s="1" t="e">
        <f>IF(AI165="","",VLOOKUP(AI165,S4:U53,3,0))</f>
        <v>#VALUE!</v>
      </c>
      <c r="AK165" s="8" t="str">
        <f t="shared" si="117"/>
        <v/>
      </c>
      <c r="AM165" s="71" t="e">
        <f t="shared" si="118"/>
        <v>#VALUE!</v>
      </c>
      <c r="AN165" s="71" t="str">
        <f>IF(OR(COUNTBLANK(AQ165)=1,ISERROR(AQ165)),"",COUNT(AQ4:AQ165))</f>
        <v/>
      </c>
      <c r="AO165" s="7" t="e">
        <f t="shared" si="119"/>
        <v>#VALUE!</v>
      </c>
      <c r="AP165" s="1" t="str">
        <f>IF(ISERROR(INDEX(C4:C8,MATCH(H165,D4:D8,0))),"",INDEX(C4:C8,MATCH(H165,D4:D8,0)))</f>
        <v/>
      </c>
      <c r="AQ165" s="79" t="e">
        <f>IF(IF(COUNTIF(AQ4:AQ164,AQ162)&gt;=MAX(D4:D8),AQ162+3,AQ162)&gt;50,"",IF(COUNTIF(AQ4:AQ164,AQ162)&gt;=MAX(D4:D8),AQ162+3,AQ162))</f>
        <v>#VALUE!</v>
      </c>
      <c r="AR165" s="1" t="e">
        <f>IF(AQ165="","",VLOOKUP(AQ165,S4:U53,3,0))</f>
        <v>#VALUE!</v>
      </c>
      <c r="AS165" s="8" t="str">
        <f t="shared" si="120"/>
        <v/>
      </c>
      <c r="AU165" s="71" t="e">
        <f t="shared" si="121"/>
        <v>#VALUE!</v>
      </c>
      <c r="AV165" s="71" t="str">
        <f>IF(OR(COUNTBLANK(AY165)=1,ISERROR(AY165)),"",COUNT(AY4:AY165))</f>
        <v/>
      </c>
      <c r="AW165" s="7" t="e">
        <f t="shared" si="122"/>
        <v>#VALUE!</v>
      </c>
      <c r="AX165" s="1" t="str">
        <f>IF(ISERROR(INDEX(C4:C8,MATCH(I165,D4:D8,0))),"",INDEX(C4:C8,MATCH(I165,D4:D8,0)))</f>
        <v/>
      </c>
      <c r="AY165" s="79" t="e">
        <f>IF(IF(COUNTIF(AY4:AY164,AY161)&gt;=MAX(D4:D8),AY161+4,AY161)&gt;50,"",IF(COUNTIF(AY4:AY164,AY161)&gt;=MAX(D4:D8),AY161+4,AY161))</f>
        <v>#VALUE!</v>
      </c>
      <c r="AZ165" s="76" t="e">
        <f>IF(AY165="","",VLOOKUP(AY165,S4:U53,3,0))</f>
        <v>#VALUE!</v>
      </c>
      <c r="BA165" s="8" t="str">
        <f t="shared" si="123"/>
        <v/>
      </c>
      <c r="BC165" s="71" t="e">
        <f t="shared" si="124"/>
        <v>#VALUE!</v>
      </c>
      <c r="BD165" s="71" t="str">
        <f>IF(OR(COUNTBLANK(BG165)=1,ISERROR(BG165)),"",COUNT(BG4:BG165))</f>
        <v/>
      </c>
      <c r="BE165" s="7" t="e">
        <f t="shared" si="125"/>
        <v>#VALUE!</v>
      </c>
      <c r="BF165" s="1" t="str">
        <f>IF(ISERROR(INDEX(C4:C8,MATCH(J165,D4:D8,0))),"",INDEX(C4:C8,MATCH(J165,D4:D8,0)))</f>
        <v/>
      </c>
      <c r="BG165" s="79" t="e">
        <f>IF(IF(COUNTIF(BG4:BG164,BG160)&gt;=MAX(D4:D8),BG160+5,BG160)&gt;50,"",IF(COUNTIF(BG4:BG164,BG160)&gt;=MAX(D4:D8),BG160+5,BG160))</f>
        <v>#VALUE!</v>
      </c>
      <c r="BH165" s="76" t="e">
        <f>IF(BG165="","",VLOOKUP(BG165,S4:U53,3,0))</f>
        <v>#VALUE!</v>
      </c>
      <c r="BI165" s="8" t="str">
        <f t="shared" si="126"/>
        <v/>
      </c>
      <c r="BP165" s="71" t="e">
        <f>IF(BT165="","",BT165*10+2)</f>
        <v>#VALUE!</v>
      </c>
      <c r="BQ165" s="71" t="str">
        <f>IF(OR(COUNTBLANK(BT165)=1,ISERROR(BT165)),"",COUNT(BT4:BT165))</f>
        <v/>
      </c>
      <c r="BR165" s="7" t="e">
        <f t="shared" si="128"/>
        <v>#VALUE!</v>
      </c>
      <c r="BS165" s="1" t="str">
        <f t="shared" si="129"/>
        <v/>
      </c>
      <c r="BT165" s="79" t="e">
        <f>IF(IF(COUNTIF($BT$4:BT164,BT164)&gt;=MAX($D$4:$D$8),BT164+1,BT164)&gt;55,"",IF(COUNTIF($BT$4:BT164,BT164)&gt;=MAX($D$4:$D$8),BT164+1,BT164))</f>
        <v>#VALUE!</v>
      </c>
      <c r="BU165" s="1" t="e">
        <f t="shared" si="130"/>
        <v>#VALUE!</v>
      </c>
      <c r="BV165" s="8" t="str">
        <f t="shared" si="131"/>
        <v/>
      </c>
      <c r="BX165" s="71" t="e">
        <f t="shared" si="132"/>
        <v>#VALUE!</v>
      </c>
      <c r="BY165" s="71" t="str">
        <f>IF(OR(COUNTBLANK(CB165)=1,ISERROR(CB165)),"",COUNT($CB$4:CB165))</f>
        <v/>
      </c>
      <c r="BZ165" s="7" t="e">
        <f t="shared" si="133"/>
        <v>#VALUE!</v>
      </c>
      <c r="CA165" s="1" t="str">
        <f t="shared" si="134"/>
        <v/>
      </c>
      <c r="CB165" s="79" t="e">
        <f>IF(IF(COUNTIF($CB$4:CB164,CB163)&gt;=MAX($D$4:$D$8),CB163+2,CB163)&gt;55,"",IF(COUNTIF($CB$4:CB164,CB163)&gt;=MAX($D$4:$D$8),CB163+2,CB163))</f>
        <v>#VALUE!</v>
      </c>
      <c r="CC165" s="1" t="e">
        <f t="shared" si="135"/>
        <v>#VALUE!</v>
      </c>
      <c r="CD165" s="8" t="str">
        <f t="shared" si="136"/>
        <v/>
      </c>
      <c r="CF165" s="71" t="e">
        <f t="shared" si="149"/>
        <v>#VALUE!</v>
      </c>
      <c r="CG165" s="71" t="str">
        <f>IF(OR(COUNTBLANK(CJ165)=1,ISERROR(CJ165)),"",COUNT($CJ$4:CJ165))</f>
        <v/>
      </c>
      <c r="CH165" s="7" t="e">
        <f t="shared" si="150"/>
        <v>#VALUE!</v>
      </c>
      <c r="CI165" s="1" t="str">
        <f t="shared" si="151"/>
        <v/>
      </c>
      <c r="CJ165" s="79" t="e">
        <f>IF(IF(COUNTIF($CJ$4:CJ164,CJ162)&gt;=MAX($D$4:$D$8),CJ162+3,CJ162)&gt;55,"",IF(COUNTIF($CJ$4:CJ164,CJ162)&gt;=MAX($D$4:$D$8),CJ162+3,CJ162))</f>
        <v>#VALUE!</v>
      </c>
      <c r="CK165" s="1" t="e">
        <f t="shared" si="137"/>
        <v>#VALUE!</v>
      </c>
      <c r="CL165" s="8" t="str">
        <f t="shared" si="152"/>
        <v/>
      </c>
      <c r="CN165" s="71" t="e">
        <f t="shared" si="143"/>
        <v>#VALUE!</v>
      </c>
      <c r="CO165" s="71" t="str">
        <f>IF(OR(COUNTBLANK(CR165)=1,ISERROR(CR165)),"",COUNT($CR$4:CR165))</f>
        <v/>
      </c>
      <c r="CP165" s="7" t="e">
        <f t="shared" si="144"/>
        <v>#VALUE!</v>
      </c>
      <c r="CQ165" s="1" t="str">
        <f t="shared" si="145"/>
        <v/>
      </c>
      <c r="CR165" s="79" t="e">
        <f>IF(IF(COUNTIF($CR$4:CR164,CR161)&gt;=MAX($D$4:$D$8),CR161+4,CR161)&gt;55,"",IF(COUNTIF($CR$4:CR164,CR161)&gt;=MAX($D$4:$D$8),CR161+4,CR161))</f>
        <v>#VALUE!</v>
      </c>
      <c r="CS165" s="1" t="e">
        <f t="shared" si="138"/>
        <v>#VALUE!</v>
      </c>
      <c r="CT165" s="8" t="str">
        <f t="shared" si="146"/>
        <v/>
      </c>
      <c r="CV165" s="71" t="e">
        <f t="shared" si="153"/>
        <v>#VALUE!</v>
      </c>
      <c r="CW165" s="71" t="str">
        <f>IF(OR(COUNTBLANK(CZ165)=1,ISERROR(CZ165)),"",COUNT($CZ$4:CZ165))</f>
        <v/>
      </c>
      <c r="CX165" s="7" t="e">
        <f t="shared" si="154"/>
        <v>#VALUE!</v>
      </c>
      <c r="CY165" s="1" t="str">
        <f t="shared" si="155"/>
        <v/>
      </c>
      <c r="CZ165" s="79" t="e">
        <f>IF(IF(COUNTIF($CZ$4:CZ164,CZ160)&gt;=MAX($D$4:$D$8),CZ160+5,CZ160)&gt;55,"",IF(COUNTIF($CZ$4:CZ164,CZ160)&gt;=MAX($D$4:$D$8),CZ160+5,CZ160))</f>
        <v>#VALUE!</v>
      </c>
      <c r="DA165" s="1" t="e">
        <f t="shared" si="139"/>
        <v>#VALUE!</v>
      </c>
      <c r="DB165" s="8" t="str">
        <f t="shared" si="156"/>
        <v/>
      </c>
    </row>
    <row r="166" spans="5:106" x14ac:dyDescent="0.15">
      <c r="E166" s="1">
        <v>163</v>
      </c>
      <c r="F166" s="1">
        <f t="shared" si="140"/>
        <v>1</v>
      </c>
      <c r="G166" s="1">
        <f t="shared" si="147"/>
        <v>1</v>
      </c>
      <c r="H166" s="1">
        <f t="shared" si="141"/>
        <v>1</v>
      </c>
      <c r="I166" s="1">
        <f t="shared" si="142"/>
        <v>1</v>
      </c>
      <c r="J166" s="1">
        <f t="shared" si="148"/>
        <v>1</v>
      </c>
      <c r="L166" s="1" t="str">
        <f>IF(ISERROR(HLOOKUP($C$10,$F$3:$J$253,164,0)),"",HLOOKUP($C$10,$F$3:$J$253,164,0))</f>
        <v/>
      </c>
      <c r="N166" s="67"/>
      <c r="W166" s="71" t="e">
        <f>IF(AA166="","",AA166*10+3)</f>
        <v>#VALUE!</v>
      </c>
      <c r="X166" s="71" t="str">
        <f>IF(OR(COUNTBLANK(AA166)=1,ISERROR(AA166)),"",COUNT(AA4:AA166))</f>
        <v/>
      </c>
      <c r="Y166" s="7" t="e">
        <f t="shared" si="113"/>
        <v>#VALUE!</v>
      </c>
      <c r="Z166" s="1" t="str">
        <f t="shared" si="127"/>
        <v/>
      </c>
      <c r="AA166" s="79" t="e">
        <f>IF(IF(COUNTIF(AA4:AA165,AA165)&gt;=MAX(D4:D8),AA165+1,AA165)&gt;50,"",IF(COUNTIF(AA4:AA165,AA165)&gt;=MAX(D4:D8),AA165+1,AA165))</f>
        <v>#VALUE!</v>
      </c>
      <c r="AB166" s="1" t="e">
        <f>IF(AA166="","",VLOOKUP(AA166,S4:U53,3,0))</f>
        <v>#VALUE!</v>
      </c>
      <c r="AC166" s="8" t="str">
        <f t="shared" si="114"/>
        <v/>
      </c>
      <c r="AE166" s="71" t="e">
        <f t="shared" si="115"/>
        <v>#VALUE!</v>
      </c>
      <c r="AF166" s="71" t="str">
        <f>IF(OR(COUNTBLANK(AI166)=1,ISERROR(AI166)),"",COUNT(AI4:AI166))</f>
        <v/>
      </c>
      <c r="AG166" s="7" t="e">
        <f t="shared" si="116"/>
        <v>#VALUE!</v>
      </c>
      <c r="AH166" s="1" t="str">
        <f>IF(ISERROR(INDEX(C4:C8,MATCH(G166,D4:D8,0))),"",INDEX(C4:C8,MATCH(G166,D4:D8,0)))</f>
        <v/>
      </c>
      <c r="AI166" s="79" t="e">
        <f>IF(IF(COUNTIF(AI4:AI165,AI164)&gt;=MAX(D4:D8),AI164+2,AI164)&gt;50,"",IF(COUNTIF(AI4:AI165,AI164)&gt;=MAX(D4:D8),AI164+2,AI164))</f>
        <v>#VALUE!</v>
      </c>
      <c r="AJ166" s="1" t="e">
        <f>IF(AI166="","",VLOOKUP(AI166,S4:U53,3,0))</f>
        <v>#VALUE!</v>
      </c>
      <c r="AK166" s="8" t="str">
        <f t="shared" si="117"/>
        <v/>
      </c>
      <c r="AM166" s="71" t="e">
        <f t="shared" si="118"/>
        <v>#VALUE!</v>
      </c>
      <c r="AN166" s="71" t="str">
        <f>IF(OR(COUNTBLANK(AQ166)=1,ISERROR(AQ166)),"",COUNT(AQ4:AQ166))</f>
        <v/>
      </c>
      <c r="AO166" s="7" t="e">
        <f t="shared" si="119"/>
        <v>#VALUE!</v>
      </c>
      <c r="AP166" s="1" t="str">
        <f>IF(ISERROR(INDEX(C4:C8,MATCH(H166,D4:D8,0))),"",INDEX(C4:C8,MATCH(H166,D4:D8,0)))</f>
        <v/>
      </c>
      <c r="AQ166" s="79" t="e">
        <f>IF(IF(COUNTIF(AQ4:AQ165,AQ163)&gt;=MAX(D4:D8),AQ163+3,AQ163)&gt;50,"",IF(COUNTIF(AQ4:AQ165,AQ163)&gt;=MAX(D4:D8),AQ163+3,AQ163))</f>
        <v>#VALUE!</v>
      </c>
      <c r="AR166" s="1" t="e">
        <f>IF(AQ166="","",VLOOKUP(AQ166,S4:U53,3,0))</f>
        <v>#VALUE!</v>
      </c>
      <c r="AS166" s="8" t="str">
        <f t="shared" si="120"/>
        <v/>
      </c>
      <c r="AU166" s="71" t="e">
        <f t="shared" si="121"/>
        <v>#VALUE!</v>
      </c>
      <c r="AV166" s="71" t="str">
        <f>IF(OR(COUNTBLANK(AY166)=1,ISERROR(AY166)),"",COUNT(AY4:AY166))</f>
        <v/>
      </c>
      <c r="AW166" s="7" t="e">
        <f t="shared" si="122"/>
        <v>#VALUE!</v>
      </c>
      <c r="AX166" s="1" t="str">
        <f>IF(ISERROR(INDEX(C4:C8,MATCH(I166,D4:D8,0))),"",INDEX(C4:C8,MATCH(I166,D4:D8,0)))</f>
        <v/>
      </c>
      <c r="AY166" s="79" t="e">
        <f>IF(IF(COUNTIF(AY4:AY165,AY162)&gt;=MAX(D4:D8),AY162+4,AY162)&gt;50,"",IF(COUNTIF(AY4:AY165,AY162)&gt;=MAX(D4:D8),AY162+4,AY162))</f>
        <v>#VALUE!</v>
      </c>
      <c r="AZ166" s="76" t="e">
        <f>IF(AY166="","",VLOOKUP(AY166,S4:U53,3,0))</f>
        <v>#VALUE!</v>
      </c>
      <c r="BA166" s="8" t="str">
        <f t="shared" si="123"/>
        <v/>
      </c>
      <c r="BC166" s="71" t="e">
        <f t="shared" si="124"/>
        <v>#VALUE!</v>
      </c>
      <c r="BD166" s="71" t="str">
        <f>IF(OR(COUNTBLANK(BG166)=1,ISERROR(BG166)),"",COUNT(BG4:BG166))</f>
        <v/>
      </c>
      <c r="BE166" s="7" t="e">
        <f t="shared" si="125"/>
        <v>#VALUE!</v>
      </c>
      <c r="BF166" s="1" t="str">
        <f>IF(ISERROR(INDEX(C4:C8,MATCH(J166,D4:D8,0))),"",INDEX(C4:C8,MATCH(J166,D4:D8,0)))</f>
        <v/>
      </c>
      <c r="BG166" s="79" t="e">
        <f>IF(IF(COUNTIF(BG4:BG165,BG161)&gt;=MAX(D4:D8),BG161+5,BG161)&gt;50,"",IF(COUNTIF(BG4:BG165,BG161)&gt;=MAX(D4:D8),BG161+5,BG161))</f>
        <v>#VALUE!</v>
      </c>
      <c r="BH166" s="76" t="e">
        <f>IF(BG166="","",VLOOKUP(BG166,S4:U53,3,0))</f>
        <v>#VALUE!</v>
      </c>
      <c r="BI166" s="8" t="str">
        <f t="shared" si="126"/>
        <v/>
      </c>
      <c r="BP166" s="71" t="e">
        <f>IF(BT166="","",BT166*10+3)</f>
        <v>#VALUE!</v>
      </c>
      <c r="BQ166" s="71" t="str">
        <f>IF(OR(COUNTBLANK(BT166)=1,ISERROR(BT166)),"",COUNT(BT4:BT166))</f>
        <v/>
      </c>
      <c r="BR166" s="7" t="e">
        <f t="shared" si="128"/>
        <v>#VALUE!</v>
      </c>
      <c r="BS166" s="1" t="str">
        <f t="shared" si="129"/>
        <v/>
      </c>
      <c r="BT166" s="79" t="e">
        <f>IF(IF(COUNTIF($BT$4:BT165,BT165)&gt;=MAX($D$4:$D$8),BT165+1,BT165)&gt;55,"",IF(COUNTIF($BT$4:BT165,BT165)&gt;=MAX($D$4:$D$8),BT165+1,BT165))</f>
        <v>#VALUE!</v>
      </c>
      <c r="BU166" s="1" t="e">
        <f t="shared" si="130"/>
        <v>#VALUE!</v>
      </c>
      <c r="BV166" s="8" t="str">
        <f t="shared" si="131"/>
        <v/>
      </c>
      <c r="BX166" s="71" t="e">
        <f t="shared" si="132"/>
        <v>#VALUE!</v>
      </c>
      <c r="BY166" s="71" t="str">
        <f>IF(OR(COUNTBLANK(CB166)=1,ISERROR(CB166)),"",COUNT($CB$4:CB166))</f>
        <v/>
      </c>
      <c r="BZ166" s="7" t="e">
        <f t="shared" si="133"/>
        <v>#VALUE!</v>
      </c>
      <c r="CA166" s="1" t="str">
        <f t="shared" si="134"/>
        <v/>
      </c>
      <c r="CB166" s="79" t="e">
        <f>IF(IF(COUNTIF($CB$4:CB165,CB164)&gt;=MAX($D$4:$D$8),CB164+2,CB164)&gt;55,"",IF(COUNTIF($CB$4:CB165,CB164)&gt;=MAX($D$4:$D$8),CB164+2,CB164))</f>
        <v>#VALUE!</v>
      </c>
      <c r="CC166" s="1" t="e">
        <f t="shared" si="135"/>
        <v>#VALUE!</v>
      </c>
      <c r="CD166" s="8" t="str">
        <f t="shared" si="136"/>
        <v/>
      </c>
      <c r="CF166" s="71" t="e">
        <f t="shared" si="149"/>
        <v>#VALUE!</v>
      </c>
      <c r="CG166" s="71" t="str">
        <f>IF(OR(COUNTBLANK(CJ166)=1,ISERROR(CJ166)),"",COUNT($CJ$4:CJ166))</f>
        <v/>
      </c>
      <c r="CH166" s="7" t="e">
        <f t="shared" si="150"/>
        <v>#VALUE!</v>
      </c>
      <c r="CI166" s="1" t="str">
        <f t="shared" si="151"/>
        <v/>
      </c>
      <c r="CJ166" s="79" t="e">
        <f>IF(IF(COUNTIF($CJ$4:CJ165,CJ163)&gt;=MAX($D$4:$D$8),CJ163+3,CJ163)&gt;55,"",IF(COUNTIF($CJ$4:CJ165,CJ163)&gt;=MAX($D$4:$D$8),CJ163+3,CJ163))</f>
        <v>#VALUE!</v>
      </c>
      <c r="CK166" s="1" t="e">
        <f t="shared" si="137"/>
        <v>#VALUE!</v>
      </c>
      <c r="CL166" s="8" t="str">
        <f t="shared" si="152"/>
        <v/>
      </c>
      <c r="CN166" s="71" t="e">
        <f t="shared" si="143"/>
        <v>#VALUE!</v>
      </c>
      <c r="CO166" s="71" t="str">
        <f>IF(OR(COUNTBLANK(CR166)=1,ISERROR(CR166)),"",COUNT($CR$4:CR166))</f>
        <v/>
      </c>
      <c r="CP166" s="7" t="e">
        <f t="shared" si="144"/>
        <v>#VALUE!</v>
      </c>
      <c r="CQ166" s="1" t="str">
        <f t="shared" si="145"/>
        <v/>
      </c>
      <c r="CR166" s="79" t="e">
        <f>IF(IF(COUNTIF($CR$4:CR165,CR162)&gt;=MAX($D$4:$D$8),CR162+4,CR162)&gt;55,"",IF(COUNTIF($CR$4:CR165,CR162)&gt;=MAX($D$4:$D$8),CR162+4,CR162))</f>
        <v>#VALUE!</v>
      </c>
      <c r="CS166" s="1" t="e">
        <f t="shared" si="138"/>
        <v>#VALUE!</v>
      </c>
      <c r="CT166" s="8" t="str">
        <f t="shared" si="146"/>
        <v/>
      </c>
      <c r="CV166" s="71" t="e">
        <f t="shared" si="153"/>
        <v>#VALUE!</v>
      </c>
      <c r="CW166" s="71" t="str">
        <f>IF(OR(COUNTBLANK(CZ166)=1,ISERROR(CZ166)),"",COUNT($CZ$4:CZ166))</f>
        <v/>
      </c>
      <c r="CX166" s="7" t="e">
        <f t="shared" si="154"/>
        <v>#VALUE!</v>
      </c>
      <c r="CY166" s="1" t="str">
        <f t="shared" si="155"/>
        <v/>
      </c>
      <c r="CZ166" s="79" t="e">
        <f>IF(IF(COUNTIF($CZ$4:CZ165,CZ161)&gt;=MAX($D$4:$D$8),CZ161+5,CZ161)&gt;55,"",IF(COUNTIF($CZ$4:CZ165,CZ161)&gt;=MAX($D$4:$D$8),CZ161+5,CZ161))</f>
        <v>#VALUE!</v>
      </c>
      <c r="DA166" s="1" t="e">
        <f t="shared" si="139"/>
        <v>#VALUE!</v>
      </c>
      <c r="DB166" s="8" t="str">
        <f t="shared" si="156"/>
        <v/>
      </c>
    </row>
    <row r="167" spans="5:106" x14ac:dyDescent="0.15">
      <c r="E167" s="1">
        <v>164</v>
      </c>
      <c r="F167" s="1">
        <f t="shared" si="140"/>
        <v>1</v>
      </c>
      <c r="G167" s="1">
        <f t="shared" si="147"/>
        <v>1</v>
      </c>
      <c r="H167" s="1">
        <f t="shared" si="141"/>
        <v>1</v>
      </c>
      <c r="I167" s="1">
        <f t="shared" si="142"/>
        <v>1</v>
      </c>
      <c r="J167" s="1">
        <f t="shared" si="148"/>
        <v>1</v>
      </c>
      <c r="L167" s="1" t="str">
        <f>IF(ISERROR(HLOOKUP($C$10,$F$3:$J$253,165,0)),"",HLOOKUP($C$10,$F$3:$J$253,165,0))</f>
        <v/>
      </c>
      <c r="N167" s="67"/>
      <c r="W167" s="71" t="e">
        <f>IF(AA167="","",AA167*10+4)</f>
        <v>#VALUE!</v>
      </c>
      <c r="X167" s="71" t="str">
        <f>IF(OR(COUNTBLANK(AA167)=1,ISERROR(AA167)),"",COUNT(AA4:AA167))</f>
        <v/>
      </c>
      <c r="Y167" s="7" t="e">
        <f t="shared" si="113"/>
        <v>#VALUE!</v>
      </c>
      <c r="Z167" s="1" t="str">
        <f t="shared" si="127"/>
        <v/>
      </c>
      <c r="AA167" s="79" t="e">
        <f>IF(IF(COUNTIF(AA4:AA166,AA166)&gt;=MAX(D4:D8),AA166+1,AA166)&gt;50,"",IF(COUNTIF(AA4:AA166,AA166)&gt;=MAX(D4:D8),AA166+1,AA166))</f>
        <v>#VALUE!</v>
      </c>
      <c r="AB167" s="1" t="e">
        <f>IF(AA167="","",VLOOKUP(AA167,S4:U53,3,0))</f>
        <v>#VALUE!</v>
      </c>
      <c r="AC167" s="8" t="str">
        <f t="shared" si="114"/>
        <v/>
      </c>
      <c r="AE167" s="71" t="e">
        <f t="shared" si="115"/>
        <v>#VALUE!</v>
      </c>
      <c r="AF167" s="71" t="str">
        <f>IF(OR(COUNTBLANK(AI167)=1,ISERROR(AI167)),"",COUNT(AI4:AI167))</f>
        <v/>
      </c>
      <c r="AG167" s="7" t="e">
        <f t="shared" si="116"/>
        <v>#VALUE!</v>
      </c>
      <c r="AH167" s="1" t="str">
        <f>IF(ISERROR(INDEX(C4:C8,MATCH(G167,D4:D8,0))),"",INDEX(C4:C8,MATCH(G167,D4:D8,0)))</f>
        <v/>
      </c>
      <c r="AI167" s="79" t="e">
        <f>IF(IF(COUNTIF(AI4:AI165,AI165)&gt;=MAX(D4:D8),AI165+2,AI165)&gt;50,"",IF(COUNTIF(AI4:AI165,AI165)&gt;=MAX(D4:D8),AI165+2,AI165))</f>
        <v>#VALUE!</v>
      </c>
      <c r="AJ167" s="1" t="e">
        <f>IF(AI167="","",VLOOKUP(AI167,S4:U53,3,0))</f>
        <v>#VALUE!</v>
      </c>
      <c r="AK167" s="8" t="str">
        <f t="shared" si="117"/>
        <v/>
      </c>
      <c r="AM167" s="71" t="e">
        <f t="shared" si="118"/>
        <v>#VALUE!</v>
      </c>
      <c r="AN167" s="71" t="str">
        <f>IF(OR(COUNTBLANK(AQ167)=1,ISERROR(AQ167)),"",COUNT(AQ4:AQ167))</f>
        <v/>
      </c>
      <c r="AO167" s="7" t="e">
        <f t="shared" si="119"/>
        <v>#VALUE!</v>
      </c>
      <c r="AP167" s="1" t="str">
        <f>IF(ISERROR(INDEX(C4:C8,MATCH(H167,D4:D8,0))),"",INDEX(C4:C8,MATCH(H167,D4:D8,0)))</f>
        <v/>
      </c>
      <c r="AQ167" s="79" t="e">
        <f>IF(IF(COUNTIF(AQ4:AQ166,AQ164)&gt;=MAX(D4:D8),AQ164+3,AQ164)&gt;50,"",IF(COUNTIF(AQ4:AQ166,AQ164)&gt;=MAX(D4:D8),AQ164+3,AQ164))</f>
        <v>#VALUE!</v>
      </c>
      <c r="AR167" s="1" t="e">
        <f>IF(AQ167="","",VLOOKUP(AQ167,S4:U53,3,0))</f>
        <v>#VALUE!</v>
      </c>
      <c r="AS167" s="8" t="str">
        <f t="shared" si="120"/>
        <v/>
      </c>
      <c r="AU167" s="71" t="e">
        <f t="shared" si="121"/>
        <v>#VALUE!</v>
      </c>
      <c r="AV167" s="71" t="str">
        <f>IF(OR(COUNTBLANK(AY167)=1,ISERROR(AY167)),"",COUNT(AY4:AY167))</f>
        <v/>
      </c>
      <c r="AW167" s="7" t="e">
        <f t="shared" si="122"/>
        <v>#VALUE!</v>
      </c>
      <c r="AX167" s="1" t="str">
        <f>IF(ISERROR(INDEX(C4:C8,MATCH(I167,D4:D8,0))),"",INDEX(C4:C8,MATCH(I167,D4:D8,0)))</f>
        <v/>
      </c>
      <c r="AY167" s="79" t="e">
        <f>IF(IF(COUNTIF(AY4:AY166,AY163)&gt;=MAX(D4:D8),AY163+4,AY163)&gt;50,"",IF(COUNTIF(AY4:AY166,AY163)&gt;=MAX(D4:D8),AY163+4,AY163))</f>
        <v>#VALUE!</v>
      </c>
      <c r="AZ167" s="76" t="e">
        <f>IF(AY167="","",VLOOKUP(AY167,S4:U53,3,0))</f>
        <v>#VALUE!</v>
      </c>
      <c r="BA167" s="8" t="str">
        <f t="shared" si="123"/>
        <v/>
      </c>
      <c r="BC167" s="71" t="e">
        <f t="shared" si="124"/>
        <v>#VALUE!</v>
      </c>
      <c r="BD167" s="71" t="str">
        <f>IF(OR(COUNTBLANK(BG167)=1,ISERROR(BG167)),"",COUNT(BG4:BG167))</f>
        <v/>
      </c>
      <c r="BE167" s="7" t="e">
        <f t="shared" si="125"/>
        <v>#VALUE!</v>
      </c>
      <c r="BF167" s="1" t="str">
        <f>IF(ISERROR(INDEX(C4:C8,MATCH(J167,D4:D8,0))),"",INDEX(C4:C8,MATCH(J167,D4:D8,0)))</f>
        <v/>
      </c>
      <c r="BG167" s="79" t="e">
        <f>IF(IF(COUNTIF(BG4:BG166,BG162)&gt;=MAX(D4:D8),BG162+5,BG162)&gt;50,"",IF(COUNTIF(BG4:BG166,BG162)&gt;=MAX(D4:D8),BG162+5,BG162))</f>
        <v>#VALUE!</v>
      </c>
      <c r="BH167" s="76" t="e">
        <f>IF(BG167="","",VLOOKUP(BG167,S4:U53,3,0))</f>
        <v>#VALUE!</v>
      </c>
      <c r="BI167" s="8" t="str">
        <f t="shared" si="126"/>
        <v/>
      </c>
      <c r="BP167" s="71" t="e">
        <f>IF(BT167="","",BT167*10+4)</f>
        <v>#VALUE!</v>
      </c>
      <c r="BQ167" s="71" t="str">
        <f>IF(OR(COUNTBLANK(BT167)=1,ISERROR(BT167)),"",COUNT(BT4:BT167))</f>
        <v/>
      </c>
      <c r="BR167" s="7" t="e">
        <f t="shared" si="128"/>
        <v>#VALUE!</v>
      </c>
      <c r="BS167" s="1" t="str">
        <f t="shared" si="129"/>
        <v/>
      </c>
      <c r="BT167" s="79" t="e">
        <f>IF(IF(COUNTIF($BT$4:BT166,BT166)&gt;=MAX($D$4:$D$8),BT166+1,BT166)&gt;55,"",IF(COUNTIF($BT$4:BT166,BT166)&gt;=MAX($D$4:$D$8),BT166+1,BT166))</f>
        <v>#VALUE!</v>
      </c>
      <c r="BU167" s="1" t="e">
        <f t="shared" si="130"/>
        <v>#VALUE!</v>
      </c>
      <c r="BV167" s="8" t="str">
        <f t="shared" si="131"/>
        <v/>
      </c>
      <c r="BX167" s="71" t="e">
        <f t="shared" si="132"/>
        <v>#VALUE!</v>
      </c>
      <c r="BY167" s="71" t="str">
        <f>IF(OR(COUNTBLANK(CB167)=1,ISERROR(CB167)),"",COUNT($CB$4:CB167))</f>
        <v/>
      </c>
      <c r="BZ167" s="7" t="e">
        <f t="shared" si="133"/>
        <v>#VALUE!</v>
      </c>
      <c r="CA167" s="1" t="str">
        <f t="shared" si="134"/>
        <v/>
      </c>
      <c r="CB167" s="79" t="e">
        <f>IF(IF(COUNTIF($CB$4:CB166,CB165)&gt;=MAX($D$4:$D$8),CB165+2,CB165)&gt;55,"",IF(COUNTIF($CB$4:CB166,CB165)&gt;=MAX($D$4:$D$8),CB165+2,CB165))</f>
        <v>#VALUE!</v>
      </c>
      <c r="CC167" s="1" t="e">
        <f t="shared" si="135"/>
        <v>#VALUE!</v>
      </c>
      <c r="CD167" s="8" t="str">
        <f t="shared" si="136"/>
        <v/>
      </c>
      <c r="CF167" s="71" t="e">
        <f t="shared" si="149"/>
        <v>#VALUE!</v>
      </c>
      <c r="CG167" s="71" t="str">
        <f>IF(OR(COUNTBLANK(CJ167)=1,ISERROR(CJ167)),"",COUNT($CJ$4:CJ167))</f>
        <v/>
      </c>
      <c r="CH167" s="7" t="e">
        <f t="shared" si="150"/>
        <v>#VALUE!</v>
      </c>
      <c r="CI167" s="1" t="str">
        <f t="shared" si="151"/>
        <v/>
      </c>
      <c r="CJ167" s="79" t="e">
        <f>IF(IF(COUNTIF($CJ$4:CJ166,CJ164)&gt;=MAX($D$4:$D$8),CJ164+3,CJ164)&gt;55,"",IF(COUNTIF($CJ$4:CJ166,CJ164)&gt;=MAX($D$4:$D$8),CJ164+3,CJ164))</f>
        <v>#VALUE!</v>
      </c>
      <c r="CK167" s="1" t="e">
        <f t="shared" si="137"/>
        <v>#VALUE!</v>
      </c>
      <c r="CL167" s="8" t="str">
        <f t="shared" si="152"/>
        <v/>
      </c>
      <c r="CN167" s="71" t="e">
        <f t="shared" si="143"/>
        <v>#VALUE!</v>
      </c>
      <c r="CO167" s="71" t="str">
        <f>IF(OR(COUNTBLANK(CR167)=1,ISERROR(CR167)),"",COUNT($CR$4:CR167))</f>
        <v/>
      </c>
      <c r="CP167" s="7" t="e">
        <f t="shared" si="144"/>
        <v>#VALUE!</v>
      </c>
      <c r="CQ167" s="1" t="str">
        <f t="shared" si="145"/>
        <v/>
      </c>
      <c r="CR167" s="79" t="e">
        <f>IF(IF(COUNTIF($CR$4:CR166,CR163)&gt;=MAX($D$4:$D$8),CR163+4,CR163)&gt;55,"",IF(COUNTIF($CR$4:CR166,CR163)&gt;=MAX($D$4:$D$8),CR163+4,CR163))</f>
        <v>#VALUE!</v>
      </c>
      <c r="CS167" s="1" t="e">
        <f t="shared" si="138"/>
        <v>#VALUE!</v>
      </c>
      <c r="CT167" s="8" t="str">
        <f t="shared" si="146"/>
        <v/>
      </c>
      <c r="CV167" s="71" t="e">
        <f t="shared" si="153"/>
        <v>#VALUE!</v>
      </c>
      <c r="CW167" s="71" t="str">
        <f>IF(OR(COUNTBLANK(CZ167)=1,ISERROR(CZ167)),"",COUNT($CZ$4:CZ167))</f>
        <v/>
      </c>
      <c r="CX167" s="7" t="e">
        <f t="shared" si="154"/>
        <v>#VALUE!</v>
      </c>
      <c r="CY167" s="1" t="str">
        <f t="shared" si="155"/>
        <v/>
      </c>
      <c r="CZ167" s="79" t="e">
        <f>IF(IF(COUNTIF($CZ$4:CZ166,CZ162)&gt;=MAX($D$4:$D$8),CZ162+5,CZ162)&gt;55,"",IF(COUNTIF($CZ$4:CZ166,CZ162)&gt;=MAX($D$4:$D$8),CZ162+5,CZ162))</f>
        <v>#VALUE!</v>
      </c>
      <c r="DA167" s="1" t="e">
        <f t="shared" si="139"/>
        <v>#VALUE!</v>
      </c>
      <c r="DB167" s="8" t="str">
        <f t="shared" si="156"/>
        <v/>
      </c>
    </row>
    <row r="168" spans="5:106" x14ac:dyDescent="0.15">
      <c r="E168" s="1">
        <v>165</v>
      </c>
      <c r="F168" s="1">
        <f t="shared" si="140"/>
        <v>1</v>
      </c>
      <c r="G168" s="1">
        <f t="shared" si="147"/>
        <v>1</v>
      </c>
      <c r="H168" s="1">
        <f t="shared" si="141"/>
        <v>1</v>
      </c>
      <c r="I168" s="1">
        <f t="shared" si="142"/>
        <v>1</v>
      </c>
      <c r="J168" s="1">
        <f t="shared" si="148"/>
        <v>1</v>
      </c>
      <c r="L168" s="1" t="str">
        <f>IF(ISERROR(HLOOKUP($C$10,$F$3:$J$253,166,0)),"",HLOOKUP($C$10,$F$3:$J$253,166,0))</f>
        <v/>
      </c>
      <c r="N168" s="67"/>
      <c r="W168" s="71" t="e">
        <f>IF(AA168="","",AA168*10+5)</f>
        <v>#VALUE!</v>
      </c>
      <c r="X168" s="71" t="str">
        <f>IF(OR(COUNTBLANK(AA168)=1,ISERROR(AA168)),"",COUNT(AA4:AA168))</f>
        <v/>
      </c>
      <c r="Y168" s="7" t="e">
        <f t="shared" si="113"/>
        <v>#VALUE!</v>
      </c>
      <c r="Z168" s="1" t="str">
        <f t="shared" si="127"/>
        <v/>
      </c>
      <c r="AA168" s="79" t="e">
        <f>IF(IF(COUNTIF(AA4:AA167,AA167)&gt;=MAX(D4:D8),AA167+1,AA167)&gt;50,"",IF(COUNTIF(AA4:AA167,AA167)&gt;=MAX(D4:D8),AA167+1,AA167))</f>
        <v>#VALUE!</v>
      </c>
      <c r="AB168" s="1" t="e">
        <f>IF(AA168="","",VLOOKUP(AA168,S4:U53,3,0))</f>
        <v>#VALUE!</v>
      </c>
      <c r="AC168" s="8" t="str">
        <f t="shared" si="114"/>
        <v/>
      </c>
      <c r="AE168" s="71" t="e">
        <f t="shared" si="115"/>
        <v>#VALUE!</v>
      </c>
      <c r="AF168" s="71" t="str">
        <f>IF(OR(COUNTBLANK(AI168)=1,ISERROR(AI168)),"",COUNT(AI4:AI168))</f>
        <v/>
      </c>
      <c r="AG168" s="7" t="e">
        <f t="shared" si="116"/>
        <v>#VALUE!</v>
      </c>
      <c r="AH168" s="1" t="str">
        <f>IF(ISERROR(INDEX(C4:C8,MATCH(G168,D4:D8,0))),"",INDEX(C4:C8,MATCH(G168,D4:D8,0)))</f>
        <v/>
      </c>
      <c r="AI168" s="79" t="e">
        <f>IF(IF(COUNTIF(AI4:AI167,AI166)&gt;=MAX(D4:D8),AI166+2,AI166)&gt;50,"",IF(COUNTIF(AI4:AI167,AI166)&gt;=MAX(D4:D8),AI166+2,AI166))</f>
        <v>#VALUE!</v>
      </c>
      <c r="AJ168" s="1" t="e">
        <f>IF(AI168="","",VLOOKUP(AI168,S4:U53,3,0))</f>
        <v>#VALUE!</v>
      </c>
      <c r="AK168" s="8" t="str">
        <f t="shared" si="117"/>
        <v/>
      </c>
      <c r="AM168" s="71" t="e">
        <f t="shared" si="118"/>
        <v>#VALUE!</v>
      </c>
      <c r="AN168" s="71" t="str">
        <f>IF(OR(COUNTBLANK(AQ168)=1,ISERROR(AQ168)),"",COUNT(AQ4:AQ168))</f>
        <v/>
      </c>
      <c r="AO168" s="7" t="e">
        <f t="shared" si="119"/>
        <v>#VALUE!</v>
      </c>
      <c r="AP168" s="1" t="str">
        <f>IF(ISERROR(INDEX(C4:C8,MATCH(H168,D4:D8,0))),"",INDEX(C4:C8,MATCH(H168,D4:D8,0)))</f>
        <v/>
      </c>
      <c r="AQ168" s="79" t="e">
        <f>IF(IF(COUNTIF(AQ4:AQ167,AQ165)&gt;=MAX(D4:D8),AQ165+3,AQ165)&gt;50,"",IF(COUNTIF(AQ4:AQ167,AQ165)&gt;=MAX(D4:D8),AQ165+3,AQ165))</f>
        <v>#VALUE!</v>
      </c>
      <c r="AR168" s="1" t="e">
        <f>IF(AQ168="","",VLOOKUP(AQ168,S4:U53,3,0))</f>
        <v>#VALUE!</v>
      </c>
      <c r="AS168" s="8" t="str">
        <f t="shared" si="120"/>
        <v/>
      </c>
      <c r="AU168" s="71" t="e">
        <f t="shared" si="121"/>
        <v>#VALUE!</v>
      </c>
      <c r="AV168" s="71" t="str">
        <f>IF(OR(COUNTBLANK(AY168)=1,ISERROR(AY168)),"",COUNT(AY4:AY168))</f>
        <v/>
      </c>
      <c r="AW168" s="7" t="e">
        <f t="shared" si="122"/>
        <v>#VALUE!</v>
      </c>
      <c r="AX168" s="1" t="str">
        <f>IF(ISERROR(INDEX(C4:C8,MATCH(I168,D4:D8,0))),"",INDEX(C4:C8,MATCH(I168,D4:D8,0)))</f>
        <v/>
      </c>
      <c r="AY168" s="79" t="e">
        <f>IF(IF(COUNTIF(AY4:AY167,AY164)&gt;=MAX(D4:D8),AY164+4,AY164)&gt;50,"",IF(COUNTIF(AY4:AY167,AY164)&gt;=MAX(D4:D8),AY164+4,AY164))</f>
        <v>#VALUE!</v>
      </c>
      <c r="AZ168" s="76" t="e">
        <f>IF(AY168="","",VLOOKUP(AY168,S4:U53,3,0))</f>
        <v>#VALUE!</v>
      </c>
      <c r="BA168" s="8" t="str">
        <f t="shared" si="123"/>
        <v/>
      </c>
      <c r="BC168" s="71" t="e">
        <f t="shared" si="124"/>
        <v>#VALUE!</v>
      </c>
      <c r="BD168" s="71" t="str">
        <f>IF(OR(COUNTBLANK(BG168)=1,ISERROR(BG168)),"",COUNT(BG4:BG168))</f>
        <v/>
      </c>
      <c r="BE168" s="7" t="e">
        <f t="shared" si="125"/>
        <v>#VALUE!</v>
      </c>
      <c r="BF168" s="1" t="str">
        <f>IF(ISERROR(INDEX(C4:C8,MATCH(J168,D4:D8,0))),"",INDEX(C4:C8,MATCH(J168,D4:D8,0)))</f>
        <v/>
      </c>
      <c r="BG168" s="79" t="e">
        <f>IF(IF(COUNTIF(BG4:BG167,BG163)&gt;=MAX(D4:D8),BG163+5,BG163)&gt;50,"",IF(COUNTIF(BG4:BG167,BG163)&gt;=MAX(D4:D8),BG163+5,BG163))</f>
        <v>#VALUE!</v>
      </c>
      <c r="BH168" s="76" t="e">
        <f>IF(BG168="","",VLOOKUP(BG168,S4:U53,3,0))</f>
        <v>#VALUE!</v>
      </c>
      <c r="BI168" s="8" t="str">
        <f t="shared" si="126"/>
        <v/>
      </c>
      <c r="BP168" s="71" t="e">
        <f>IF(BT168="","",BT168*10+5)</f>
        <v>#VALUE!</v>
      </c>
      <c r="BQ168" s="71" t="str">
        <f>IF(OR(COUNTBLANK(BT168)=1,ISERROR(BT168)),"",COUNT(BT4:BT168))</f>
        <v/>
      </c>
      <c r="BR168" s="7" t="e">
        <f t="shared" si="128"/>
        <v>#VALUE!</v>
      </c>
      <c r="BS168" s="1" t="str">
        <f t="shared" si="129"/>
        <v/>
      </c>
      <c r="BT168" s="79" t="e">
        <f>IF(IF(COUNTIF($BT$4:BT167,BT167)&gt;=MAX($D$4:$D$8),BT167+1,BT167)&gt;55,"",IF(COUNTIF($BT$4:BT167,BT167)&gt;=MAX($D$4:$D$8),BT167+1,BT167))</f>
        <v>#VALUE!</v>
      </c>
      <c r="BU168" s="1" t="e">
        <f t="shared" si="130"/>
        <v>#VALUE!</v>
      </c>
      <c r="BV168" s="8" t="str">
        <f t="shared" si="131"/>
        <v/>
      </c>
      <c r="BX168" s="71" t="e">
        <f t="shared" si="132"/>
        <v>#VALUE!</v>
      </c>
      <c r="BY168" s="71" t="str">
        <f>IF(OR(COUNTBLANK(CB168)=1,ISERROR(CB168)),"",COUNT($CB$4:CB168))</f>
        <v/>
      </c>
      <c r="BZ168" s="7" t="e">
        <f t="shared" si="133"/>
        <v>#VALUE!</v>
      </c>
      <c r="CA168" s="1" t="str">
        <f t="shared" si="134"/>
        <v/>
      </c>
      <c r="CB168" s="79" t="e">
        <f>IF(IF(COUNTIF($CB$4:CB167,CB166)&gt;=MAX($D$4:$D$8),CB166+2,CB166)&gt;55,"",IF(COUNTIF($CB$4:CB167,CB166)&gt;=MAX($D$4:$D$8),CB166+2,CB166))</f>
        <v>#VALUE!</v>
      </c>
      <c r="CC168" s="1" t="e">
        <f t="shared" si="135"/>
        <v>#VALUE!</v>
      </c>
      <c r="CD168" s="8" t="str">
        <f t="shared" si="136"/>
        <v/>
      </c>
      <c r="CF168" s="71" t="e">
        <f t="shared" si="149"/>
        <v>#VALUE!</v>
      </c>
      <c r="CG168" s="71" t="str">
        <f>IF(OR(COUNTBLANK(CJ168)=1,ISERROR(CJ168)),"",COUNT($CJ$4:CJ168))</f>
        <v/>
      </c>
      <c r="CH168" s="7" t="e">
        <f t="shared" si="150"/>
        <v>#VALUE!</v>
      </c>
      <c r="CI168" s="1" t="str">
        <f t="shared" si="151"/>
        <v/>
      </c>
      <c r="CJ168" s="79" t="e">
        <f>IF(IF(COUNTIF($CJ$4:CJ167,CJ165)&gt;=MAX($D$4:$D$8),CJ165+3,CJ165)&gt;55,"",IF(COUNTIF($CJ$4:CJ167,CJ165)&gt;=MAX($D$4:$D$8),CJ165+3,CJ165))</f>
        <v>#VALUE!</v>
      </c>
      <c r="CK168" s="1" t="e">
        <f t="shared" si="137"/>
        <v>#VALUE!</v>
      </c>
      <c r="CL168" s="8" t="str">
        <f t="shared" si="152"/>
        <v/>
      </c>
      <c r="CN168" s="71" t="e">
        <f t="shared" si="143"/>
        <v>#VALUE!</v>
      </c>
      <c r="CO168" s="71" t="str">
        <f>IF(OR(COUNTBLANK(CR168)=1,ISERROR(CR168)),"",COUNT($CR$4:CR168))</f>
        <v/>
      </c>
      <c r="CP168" s="7" t="e">
        <f t="shared" si="144"/>
        <v>#VALUE!</v>
      </c>
      <c r="CQ168" s="1" t="str">
        <f t="shared" si="145"/>
        <v/>
      </c>
      <c r="CR168" s="79" t="e">
        <f>IF(IF(COUNTIF($CR$4:CR167,CR164)&gt;=MAX($D$4:$D$8),CR164+4,CR164)&gt;55,"",IF(COUNTIF($CR$4:CR167,CR164)&gt;=MAX($D$4:$D$8),CR164+4,CR164))</f>
        <v>#VALUE!</v>
      </c>
      <c r="CS168" s="1" t="e">
        <f t="shared" si="138"/>
        <v>#VALUE!</v>
      </c>
      <c r="CT168" s="8" t="str">
        <f t="shared" si="146"/>
        <v/>
      </c>
      <c r="CV168" s="71" t="e">
        <f t="shared" si="153"/>
        <v>#VALUE!</v>
      </c>
      <c r="CW168" s="71" t="str">
        <f>IF(OR(COUNTBLANK(CZ168)=1,ISERROR(CZ168)),"",COUNT($CZ$4:CZ168))</f>
        <v/>
      </c>
      <c r="CX168" s="7" t="e">
        <f t="shared" si="154"/>
        <v>#VALUE!</v>
      </c>
      <c r="CY168" s="1" t="str">
        <f t="shared" si="155"/>
        <v/>
      </c>
      <c r="CZ168" s="79" t="e">
        <f>IF(IF(COUNTIF($CZ$4:CZ167,CZ163)&gt;=MAX($D$4:$D$8),CZ163+5,CZ163)&gt;55,"",IF(COUNTIF($CZ$4:CZ167,CZ163)&gt;=MAX($D$4:$D$8),CZ163+5,CZ163))</f>
        <v>#VALUE!</v>
      </c>
      <c r="DA168" s="1" t="e">
        <f t="shared" si="139"/>
        <v>#VALUE!</v>
      </c>
      <c r="DB168" s="8" t="str">
        <f t="shared" si="156"/>
        <v/>
      </c>
    </row>
    <row r="169" spans="5:106" x14ac:dyDescent="0.15">
      <c r="E169" s="1">
        <v>166</v>
      </c>
      <c r="F169" s="1">
        <f t="shared" si="140"/>
        <v>1</v>
      </c>
      <c r="G169" s="1">
        <f t="shared" si="147"/>
        <v>1</v>
      </c>
      <c r="H169" s="1">
        <f t="shared" si="141"/>
        <v>1</v>
      </c>
      <c r="I169" s="1">
        <f t="shared" si="142"/>
        <v>1</v>
      </c>
      <c r="J169" s="1">
        <f t="shared" si="148"/>
        <v>1</v>
      </c>
      <c r="L169" s="1" t="str">
        <f>IF(ISERROR(HLOOKUP($C$10,$F$3:$J$253,167,0)),"",HLOOKUP($C$10,$F$3:$J$253,167,0))</f>
        <v/>
      </c>
      <c r="N169" s="67"/>
      <c r="W169" s="71" t="e">
        <f>IF(AA169="","",AA169*10+1)</f>
        <v>#VALUE!</v>
      </c>
      <c r="X169" s="71" t="str">
        <f>IF(OR(COUNTBLANK(AA169)=1,ISERROR(AA169)),"",COUNT(AA4:AA169))</f>
        <v/>
      </c>
      <c r="Y169" s="7" t="e">
        <f t="shared" si="113"/>
        <v>#VALUE!</v>
      </c>
      <c r="Z169" s="1" t="str">
        <f t="shared" si="127"/>
        <v/>
      </c>
      <c r="AA169" s="79" t="e">
        <f>IF(IF(COUNTIF(AA4:AA168,AA168)&gt;=MAX(D4:D8),AA168+1,AA168)&gt;50,"",IF(COUNTIF(AA4:AA168,AA168)&gt;=MAX(D4:D8),AA168+1,AA168))</f>
        <v>#VALUE!</v>
      </c>
      <c r="AB169" s="1" t="e">
        <f>IF(AA169="","",VLOOKUP(AA169,S4:U53,3,0))</f>
        <v>#VALUE!</v>
      </c>
      <c r="AC169" s="8" t="str">
        <f t="shared" si="114"/>
        <v/>
      </c>
      <c r="AE169" s="71" t="e">
        <f t="shared" si="115"/>
        <v>#VALUE!</v>
      </c>
      <c r="AF169" s="71" t="str">
        <f>IF(OR(COUNTBLANK(AI169)=1,ISERROR(AI169)),"",COUNT(AI4:AI169))</f>
        <v/>
      </c>
      <c r="AG169" s="7" t="e">
        <f t="shared" si="116"/>
        <v>#VALUE!</v>
      </c>
      <c r="AH169" s="1" t="str">
        <f>IF(ISERROR(INDEX(C4:C8,MATCH(G169,D4:D8,0))),"",INDEX(C4:C8,MATCH(G169,D4:D8,0)))</f>
        <v/>
      </c>
      <c r="AI169" s="79" t="e">
        <f>IF(IF(COUNTIF(AI4:AI167,AI167)&gt;=MAX(D4:D8),AI167+2,AI167)&gt;50,"",IF(COUNTIF(AI4:AI167,AI167)&gt;=MAX(D4:D8),AI167+2,AI167))</f>
        <v>#VALUE!</v>
      </c>
      <c r="AJ169" s="1" t="e">
        <f>IF(AI169="","",VLOOKUP(AI169,S4:U53,3,0))</f>
        <v>#VALUE!</v>
      </c>
      <c r="AK169" s="8" t="str">
        <f t="shared" si="117"/>
        <v/>
      </c>
      <c r="AM169" s="71" t="e">
        <f t="shared" si="118"/>
        <v>#VALUE!</v>
      </c>
      <c r="AN169" s="71" t="str">
        <f>IF(OR(COUNTBLANK(AQ169)=1,ISERROR(AQ169)),"",COUNT(AQ4:AQ169))</f>
        <v/>
      </c>
      <c r="AO169" s="7" t="e">
        <f t="shared" si="119"/>
        <v>#VALUE!</v>
      </c>
      <c r="AP169" s="1" t="str">
        <f>IF(ISERROR(INDEX(C4:C8,MATCH(H169,D4:D8,0))),"",INDEX(C4:C8,MATCH(H169,D4:D8,0)))</f>
        <v/>
      </c>
      <c r="AQ169" s="79" t="e">
        <f>IF(IF(COUNTIF(AQ4:AQ168,AQ166)&gt;=MAX(D4:D8),AQ166+3,AQ166)&gt;50,"",IF(COUNTIF(AQ4:AQ168,AQ166)&gt;=MAX(D4:D8),AQ166+3,AQ166))</f>
        <v>#VALUE!</v>
      </c>
      <c r="AR169" s="1" t="e">
        <f>IF(AQ169="","",VLOOKUP(AQ169,S4:U53,3,0))</f>
        <v>#VALUE!</v>
      </c>
      <c r="AS169" s="8" t="str">
        <f t="shared" si="120"/>
        <v/>
      </c>
      <c r="AU169" s="71" t="e">
        <f t="shared" si="121"/>
        <v>#VALUE!</v>
      </c>
      <c r="AV169" s="71" t="str">
        <f>IF(OR(COUNTBLANK(AY169)=1,ISERROR(AY169)),"",COUNT(AY4:AY169))</f>
        <v/>
      </c>
      <c r="AW169" s="7" t="e">
        <f t="shared" si="122"/>
        <v>#VALUE!</v>
      </c>
      <c r="AX169" s="1" t="str">
        <f>IF(ISERROR(INDEX(C4:C8,MATCH(I169,D4:D8,0))),"",INDEX(C4:C8,MATCH(I169,D4:D8,0)))</f>
        <v/>
      </c>
      <c r="AY169" s="79" t="e">
        <f>IF(IF(COUNTIF(AY4:AY168,AY165)&gt;=MAX(D4:D8),AY165+4,AY165)&gt;50,"",IF(COUNTIF(AY4:AY168,AY165)&gt;=MAX(D4:D8),AY165+4,AY165))</f>
        <v>#VALUE!</v>
      </c>
      <c r="AZ169" s="76" t="e">
        <f>IF(AY169="","",VLOOKUP(AY169,S4:U53,3,0))</f>
        <v>#VALUE!</v>
      </c>
      <c r="BA169" s="8" t="str">
        <f t="shared" si="123"/>
        <v/>
      </c>
      <c r="BC169" s="71" t="e">
        <f t="shared" si="124"/>
        <v>#VALUE!</v>
      </c>
      <c r="BD169" s="71" t="str">
        <f>IF(OR(COUNTBLANK(BG169)=1,ISERROR(BG169)),"",COUNT(BG4:BG169))</f>
        <v/>
      </c>
      <c r="BE169" s="7" t="e">
        <f t="shared" si="125"/>
        <v>#VALUE!</v>
      </c>
      <c r="BF169" s="1" t="str">
        <f>IF(ISERROR(INDEX(C4:C8,MATCH(J169,D4:D8,0))),"",INDEX(C4:C8,MATCH(J169,D4:D8,0)))</f>
        <v/>
      </c>
      <c r="BG169" s="79" t="e">
        <f>IF(IF(COUNTIF(BG4:BG168,BG164)&gt;=MAX(D4:D8),BG164+5,BG164)&gt;50,"",IF(COUNTIF(BG4:BG168,BG164)&gt;=MAX(D4:D8),BG164+5,BG164))</f>
        <v>#VALUE!</v>
      </c>
      <c r="BH169" s="76" t="e">
        <f>IF(BG169="","",VLOOKUP(BG169,S4:U53,3,0))</f>
        <v>#VALUE!</v>
      </c>
      <c r="BI169" s="8" t="str">
        <f t="shared" si="126"/>
        <v/>
      </c>
      <c r="BP169" s="71" t="e">
        <f>IF(BT169="","",BT169*10+1)</f>
        <v>#VALUE!</v>
      </c>
      <c r="BQ169" s="71" t="str">
        <f>IF(OR(COUNTBLANK(BT169)=1,ISERROR(BT169)),"",COUNT(BT4:BT169))</f>
        <v/>
      </c>
      <c r="BR169" s="7" t="e">
        <f t="shared" si="128"/>
        <v>#VALUE!</v>
      </c>
      <c r="BS169" s="1" t="str">
        <f t="shared" si="129"/>
        <v/>
      </c>
      <c r="BT169" s="79" t="e">
        <f>IF(IF(COUNTIF($BT$4:BT168,BT168)&gt;=MAX($D$4:$D$8),BT168+1,BT168)&gt;55,"",IF(COUNTIF($BT$4:BT168,BT168)&gt;=MAX($D$4:$D$8),BT168+1,BT168))</f>
        <v>#VALUE!</v>
      </c>
      <c r="BU169" s="1" t="e">
        <f t="shared" si="130"/>
        <v>#VALUE!</v>
      </c>
      <c r="BV169" s="8" t="str">
        <f t="shared" si="131"/>
        <v/>
      </c>
      <c r="BX169" s="71" t="e">
        <f t="shared" si="132"/>
        <v>#VALUE!</v>
      </c>
      <c r="BY169" s="71" t="str">
        <f>IF(OR(COUNTBLANK(CB169)=1,ISERROR(CB169)),"",COUNT($CB$4:CB169))</f>
        <v/>
      </c>
      <c r="BZ169" s="7" t="e">
        <f t="shared" si="133"/>
        <v>#VALUE!</v>
      </c>
      <c r="CA169" s="1" t="str">
        <f t="shared" si="134"/>
        <v/>
      </c>
      <c r="CB169" s="79" t="e">
        <f>IF(IF(COUNTIF($CB$4:CB168,CB167)&gt;=MAX($D$4:$D$8),CB167+2,CB167)&gt;55,"",IF(COUNTIF($CB$4:CB168,CB167)&gt;=MAX($D$4:$D$8),CB167+2,CB167))</f>
        <v>#VALUE!</v>
      </c>
      <c r="CC169" s="1" t="e">
        <f t="shared" si="135"/>
        <v>#VALUE!</v>
      </c>
      <c r="CD169" s="8" t="str">
        <f t="shared" si="136"/>
        <v/>
      </c>
      <c r="CF169" s="71" t="e">
        <f t="shared" si="149"/>
        <v>#VALUE!</v>
      </c>
      <c r="CG169" s="71" t="str">
        <f>IF(OR(COUNTBLANK(CJ169)=1,ISERROR(CJ169)),"",COUNT($CJ$4:CJ169))</f>
        <v/>
      </c>
      <c r="CH169" s="7" t="e">
        <f t="shared" si="150"/>
        <v>#VALUE!</v>
      </c>
      <c r="CI169" s="1" t="str">
        <f t="shared" si="151"/>
        <v/>
      </c>
      <c r="CJ169" s="79" t="e">
        <f>IF(IF(COUNTIF($CJ$4:CJ168,CJ166)&gt;=MAX($D$4:$D$8),CJ166+3,CJ166)&gt;55,"",IF(COUNTIF($CJ$4:CJ168,CJ166)&gt;=MAX($D$4:$D$8),CJ166+3,CJ166))</f>
        <v>#VALUE!</v>
      </c>
      <c r="CK169" s="1" t="e">
        <f t="shared" si="137"/>
        <v>#VALUE!</v>
      </c>
      <c r="CL169" s="8" t="str">
        <f t="shared" si="152"/>
        <v/>
      </c>
      <c r="CN169" s="71" t="e">
        <f t="shared" si="143"/>
        <v>#VALUE!</v>
      </c>
      <c r="CO169" s="71" t="str">
        <f>IF(OR(COUNTBLANK(CR169)=1,ISERROR(CR169)),"",COUNT($CR$4:CR169))</f>
        <v/>
      </c>
      <c r="CP169" s="7" t="e">
        <f t="shared" si="144"/>
        <v>#VALUE!</v>
      </c>
      <c r="CQ169" s="1" t="str">
        <f t="shared" si="145"/>
        <v/>
      </c>
      <c r="CR169" s="79" t="e">
        <f>IF(IF(COUNTIF($CR$4:CR168,CR165)&gt;=MAX($D$4:$D$8),CR165+4,CR165)&gt;55,"",IF(COUNTIF($CR$4:CR168,CR165)&gt;=MAX($D$4:$D$8),CR165+4,CR165))</f>
        <v>#VALUE!</v>
      </c>
      <c r="CS169" s="1" t="e">
        <f t="shared" si="138"/>
        <v>#VALUE!</v>
      </c>
      <c r="CT169" s="8" t="str">
        <f t="shared" si="146"/>
        <v/>
      </c>
      <c r="CV169" s="71" t="e">
        <f t="shared" si="153"/>
        <v>#VALUE!</v>
      </c>
      <c r="CW169" s="71" t="str">
        <f>IF(OR(COUNTBLANK(CZ169)=1,ISERROR(CZ169)),"",COUNT($CZ$4:CZ169))</f>
        <v/>
      </c>
      <c r="CX169" s="7" t="e">
        <f t="shared" si="154"/>
        <v>#VALUE!</v>
      </c>
      <c r="CY169" s="1" t="str">
        <f t="shared" si="155"/>
        <v/>
      </c>
      <c r="CZ169" s="79" t="e">
        <f>IF(IF(COUNTIF($CZ$4:CZ168,CZ164)&gt;=MAX($D$4:$D$8),CZ164+5,CZ164)&gt;55,"",IF(COUNTIF($CZ$4:CZ168,CZ164)&gt;=MAX($D$4:$D$8),CZ164+5,CZ164))</f>
        <v>#VALUE!</v>
      </c>
      <c r="DA169" s="1" t="e">
        <f t="shared" si="139"/>
        <v>#VALUE!</v>
      </c>
      <c r="DB169" s="8" t="str">
        <f t="shared" si="156"/>
        <v/>
      </c>
    </row>
    <row r="170" spans="5:106" x14ac:dyDescent="0.15">
      <c r="E170" s="1">
        <v>167</v>
      </c>
      <c r="F170" s="1">
        <f t="shared" si="140"/>
        <v>1</v>
      </c>
      <c r="G170" s="1">
        <f t="shared" si="147"/>
        <v>1</v>
      </c>
      <c r="H170" s="1">
        <f t="shared" si="141"/>
        <v>1</v>
      </c>
      <c r="I170" s="1">
        <f t="shared" si="142"/>
        <v>1</v>
      </c>
      <c r="J170" s="1">
        <f t="shared" si="148"/>
        <v>1</v>
      </c>
      <c r="L170" s="1" t="str">
        <f>IF(ISERROR(HLOOKUP($C$10,$F$3:$J$253,168,0)),"",HLOOKUP($C$10,$F$3:$J$253,168,0))</f>
        <v/>
      </c>
      <c r="N170" s="67"/>
      <c r="W170" s="71" t="e">
        <f>IF(AA170="","",AA170*10+2)</f>
        <v>#VALUE!</v>
      </c>
      <c r="X170" s="71" t="str">
        <f>IF(OR(COUNTBLANK(AA170)=1,ISERROR(AA170)),"",COUNT(AA4:AA170))</f>
        <v/>
      </c>
      <c r="Y170" s="7" t="e">
        <f t="shared" si="113"/>
        <v>#VALUE!</v>
      </c>
      <c r="Z170" s="1" t="str">
        <f t="shared" si="127"/>
        <v/>
      </c>
      <c r="AA170" s="79" t="e">
        <f>IF(IF(COUNTIF(AA4:AA169,AA169)&gt;=MAX(D4:D8),AA169+1,AA169)&gt;50,"",IF(COUNTIF(AA4:AA169,AA169)&gt;=MAX(D4:D8),AA169+1,AA169))</f>
        <v>#VALUE!</v>
      </c>
      <c r="AB170" s="1" t="e">
        <f>IF(AA170="","",VLOOKUP(AA170,S4:U53,3,0))</f>
        <v>#VALUE!</v>
      </c>
      <c r="AC170" s="8" t="str">
        <f t="shared" si="114"/>
        <v/>
      </c>
      <c r="AE170" s="71" t="e">
        <f t="shared" si="115"/>
        <v>#VALUE!</v>
      </c>
      <c r="AF170" s="71" t="str">
        <f>IF(OR(COUNTBLANK(AI170)=1,ISERROR(AI170)),"",COUNT(AI4:AI170))</f>
        <v/>
      </c>
      <c r="AG170" s="7" t="e">
        <f t="shared" si="116"/>
        <v>#VALUE!</v>
      </c>
      <c r="AH170" s="1" t="str">
        <f>IF(ISERROR(INDEX(C4:C8,MATCH(G170,D4:D8,0))),"",INDEX(C4:C8,MATCH(G170,D4:D8,0)))</f>
        <v/>
      </c>
      <c r="AI170" s="79" t="e">
        <f>IF(IF(COUNTIF(AI4:AI169,AI168)&gt;=MAX(D4:D8),AI168+2,AI168)&gt;50,"",IF(COUNTIF(AI4:AI169,AI168)&gt;=MAX(D4:D8),AI168+2,AI168))</f>
        <v>#VALUE!</v>
      </c>
      <c r="AJ170" s="1" t="e">
        <f>IF(AI170="","",VLOOKUP(AI170,S4:U53,3,0))</f>
        <v>#VALUE!</v>
      </c>
      <c r="AK170" s="8" t="str">
        <f t="shared" si="117"/>
        <v/>
      </c>
      <c r="AM170" s="71" t="e">
        <f t="shared" si="118"/>
        <v>#VALUE!</v>
      </c>
      <c r="AN170" s="71" t="str">
        <f>IF(OR(COUNTBLANK(AQ170)=1,ISERROR(AQ170)),"",COUNT(AQ4:AQ170))</f>
        <v/>
      </c>
      <c r="AO170" s="7" t="e">
        <f t="shared" si="119"/>
        <v>#VALUE!</v>
      </c>
      <c r="AP170" s="1" t="str">
        <f>IF(ISERROR(INDEX(C4:C8,MATCH(H170,D4:D8,0))),"",INDEX(C4:C8,MATCH(H170,D4:D8,0)))</f>
        <v/>
      </c>
      <c r="AQ170" s="79" t="e">
        <f>IF(IF(COUNTIF(AQ4:AQ169,AQ167)&gt;=MAX(D4:D8),AQ167+3,AQ167)&gt;50,"",IF(COUNTIF(AQ4:AQ169,AQ167)&gt;=MAX(D4:D8),AQ167+3,AQ167))</f>
        <v>#VALUE!</v>
      </c>
      <c r="AR170" s="1" t="e">
        <f>IF(AQ170="","",VLOOKUP(AQ170,S4:U53,3,0))</f>
        <v>#VALUE!</v>
      </c>
      <c r="AS170" s="8" t="str">
        <f t="shared" si="120"/>
        <v/>
      </c>
      <c r="AU170" s="71" t="e">
        <f t="shared" si="121"/>
        <v>#VALUE!</v>
      </c>
      <c r="AV170" s="71" t="str">
        <f>IF(OR(COUNTBLANK(AY170)=1,ISERROR(AY170)),"",COUNT(AY4:AY170))</f>
        <v/>
      </c>
      <c r="AW170" s="7" t="e">
        <f t="shared" si="122"/>
        <v>#VALUE!</v>
      </c>
      <c r="AX170" s="1" t="str">
        <f>IF(ISERROR(INDEX(C4:C8,MATCH(I170,D4:D8,0))),"",INDEX(C4:C8,MATCH(I170,D4:D8,0)))</f>
        <v/>
      </c>
      <c r="AY170" s="79" t="e">
        <f>IF(IF(COUNTIF(AY4:AY169,AY166)&gt;=MAX(D4:D8),AY166+4,AY166)&gt;50,"",IF(COUNTIF(AY4:AY169,AY166)&gt;=MAX(D4:D8),AY166+4,AY166))</f>
        <v>#VALUE!</v>
      </c>
      <c r="AZ170" s="76" t="e">
        <f>IF(AY170="","",VLOOKUP(AY170,S4:U53,3,0))</f>
        <v>#VALUE!</v>
      </c>
      <c r="BA170" s="8" t="str">
        <f t="shared" si="123"/>
        <v/>
      </c>
      <c r="BC170" s="71" t="e">
        <f t="shared" si="124"/>
        <v>#VALUE!</v>
      </c>
      <c r="BD170" s="71" t="str">
        <f>IF(OR(COUNTBLANK(BG170)=1,ISERROR(BG170)),"",COUNT(BG4:BG170))</f>
        <v/>
      </c>
      <c r="BE170" s="7" t="e">
        <f t="shared" si="125"/>
        <v>#VALUE!</v>
      </c>
      <c r="BF170" s="1" t="str">
        <f>IF(ISERROR(INDEX(C4:C8,MATCH(J170,D4:D8,0))),"",INDEX(C4:C8,MATCH(J170,D4:D8,0)))</f>
        <v/>
      </c>
      <c r="BG170" s="79" t="e">
        <f>IF(IF(COUNTIF(BG4:BG169,BG165)&gt;=MAX(D4:D8),BG165+5,BG165)&gt;50,"",IF(COUNTIF(BG4:BG169,BG165)&gt;=MAX(D4:D8),BG165+5,BG165))</f>
        <v>#VALUE!</v>
      </c>
      <c r="BH170" s="76" t="e">
        <f>IF(BG170="","",VLOOKUP(BG170,S4:U53,3,0))</f>
        <v>#VALUE!</v>
      </c>
      <c r="BI170" s="8" t="str">
        <f t="shared" si="126"/>
        <v/>
      </c>
      <c r="BP170" s="71" t="e">
        <f>IF(BT170="","",BT170*10+2)</f>
        <v>#VALUE!</v>
      </c>
      <c r="BQ170" s="71" t="str">
        <f>IF(OR(COUNTBLANK(BT170)=1,ISERROR(BT170)),"",COUNT(BT4:BT170))</f>
        <v/>
      </c>
      <c r="BR170" s="7" t="e">
        <f t="shared" si="128"/>
        <v>#VALUE!</v>
      </c>
      <c r="BS170" s="1" t="str">
        <f t="shared" si="129"/>
        <v/>
      </c>
      <c r="BT170" s="79" t="e">
        <f>IF(IF(COUNTIF($BT$4:BT169,BT169)&gt;=MAX($D$4:$D$8),BT169+1,BT169)&gt;55,"",IF(COUNTIF($BT$4:BT169,BT169)&gt;=MAX($D$4:$D$8),BT169+1,BT169))</f>
        <v>#VALUE!</v>
      </c>
      <c r="BU170" s="1" t="e">
        <f t="shared" si="130"/>
        <v>#VALUE!</v>
      </c>
      <c r="BV170" s="8" t="str">
        <f t="shared" si="131"/>
        <v/>
      </c>
      <c r="BX170" s="71" t="e">
        <f t="shared" si="132"/>
        <v>#VALUE!</v>
      </c>
      <c r="BY170" s="71" t="str">
        <f>IF(OR(COUNTBLANK(CB170)=1,ISERROR(CB170)),"",COUNT($CB$4:CB170))</f>
        <v/>
      </c>
      <c r="BZ170" s="7" t="e">
        <f t="shared" si="133"/>
        <v>#VALUE!</v>
      </c>
      <c r="CA170" s="1" t="str">
        <f t="shared" si="134"/>
        <v/>
      </c>
      <c r="CB170" s="79" t="e">
        <f>IF(IF(COUNTIF($CB$4:CB169,CB168)&gt;=MAX($D$4:$D$8),CB168+2,CB168)&gt;55,"",IF(COUNTIF($CB$4:CB169,CB168)&gt;=MAX($D$4:$D$8),CB168+2,CB168))</f>
        <v>#VALUE!</v>
      </c>
      <c r="CC170" s="1" t="e">
        <f t="shared" si="135"/>
        <v>#VALUE!</v>
      </c>
      <c r="CD170" s="8" t="str">
        <f t="shared" si="136"/>
        <v/>
      </c>
      <c r="CF170" s="71" t="e">
        <f t="shared" si="149"/>
        <v>#VALUE!</v>
      </c>
      <c r="CG170" s="71" t="str">
        <f>IF(OR(COUNTBLANK(CJ170)=1,ISERROR(CJ170)),"",COUNT($CJ$4:CJ170))</f>
        <v/>
      </c>
      <c r="CH170" s="7" t="e">
        <f t="shared" si="150"/>
        <v>#VALUE!</v>
      </c>
      <c r="CI170" s="1" t="str">
        <f t="shared" si="151"/>
        <v/>
      </c>
      <c r="CJ170" s="79" t="e">
        <f>IF(IF(COUNTIF($CJ$4:CJ169,CJ167)&gt;=MAX($D$4:$D$8),CJ167+3,CJ167)&gt;55,"",IF(COUNTIF($CJ$4:CJ169,CJ167)&gt;=MAX($D$4:$D$8),CJ167+3,CJ167))</f>
        <v>#VALUE!</v>
      </c>
      <c r="CK170" s="1" t="e">
        <f t="shared" si="137"/>
        <v>#VALUE!</v>
      </c>
      <c r="CL170" s="8" t="str">
        <f t="shared" si="152"/>
        <v/>
      </c>
      <c r="CN170" s="71" t="e">
        <f t="shared" si="143"/>
        <v>#VALUE!</v>
      </c>
      <c r="CO170" s="71" t="str">
        <f>IF(OR(COUNTBLANK(CR170)=1,ISERROR(CR170)),"",COUNT($CR$4:CR170))</f>
        <v/>
      </c>
      <c r="CP170" s="7" t="e">
        <f t="shared" si="144"/>
        <v>#VALUE!</v>
      </c>
      <c r="CQ170" s="1" t="str">
        <f t="shared" si="145"/>
        <v/>
      </c>
      <c r="CR170" s="79" t="e">
        <f>IF(IF(COUNTIF($CR$4:CR169,CR166)&gt;=MAX($D$4:$D$8),CR166+4,CR166)&gt;55,"",IF(COUNTIF($CR$4:CR169,CR166)&gt;=MAX($D$4:$D$8),CR166+4,CR166))</f>
        <v>#VALUE!</v>
      </c>
      <c r="CS170" s="1" t="e">
        <f t="shared" si="138"/>
        <v>#VALUE!</v>
      </c>
      <c r="CT170" s="8" t="str">
        <f t="shared" si="146"/>
        <v/>
      </c>
      <c r="CV170" s="71" t="e">
        <f t="shared" si="153"/>
        <v>#VALUE!</v>
      </c>
      <c r="CW170" s="71" t="str">
        <f>IF(OR(COUNTBLANK(CZ170)=1,ISERROR(CZ170)),"",COUNT($CZ$4:CZ170))</f>
        <v/>
      </c>
      <c r="CX170" s="7" t="e">
        <f t="shared" si="154"/>
        <v>#VALUE!</v>
      </c>
      <c r="CY170" s="1" t="str">
        <f t="shared" si="155"/>
        <v/>
      </c>
      <c r="CZ170" s="79" t="e">
        <f>IF(IF(COUNTIF($CZ$4:CZ169,CZ165)&gt;=MAX($D$4:$D$8),CZ165+5,CZ165)&gt;55,"",IF(COUNTIF($CZ$4:CZ169,CZ165)&gt;=MAX($D$4:$D$8),CZ165+5,CZ165))</f>
        <v>#VALUE!</v>
      </c>
      <c r="DA170" s="1" t="e">
        <f t="shared" si="139"/>
        <v>#VALUE!</v>
      </c>
      <c r="DB170" s="8" t="str">
        <f t="shared" si="156"/>
        <v/>
      </c>
    </row>
    <row r="171" spans="5:106" x14ac:dyDescent="0.15">
      <c r="E171" s="1">
        <v>168</v>
      </c>
      <c r="F171" s="1">
        <f t="shared" si="140"/>
        <v>1</v>
      </c>
      <c r="G171" s="1">
        <f t="shared" si="147"/>
        <v>1</v>
      </c>
      <c r="H171" s="1">
        <f t="shared" si="141"/>
        <v>1</v>
      </c>
      <c r="I171" s="1">
        <f t="shared" si="142"/>
        <v>1</v>
      </c>
      <c r="J171" s="1">
        <f t="shared" si="148"/>
        <v>1</v>
      </c>
      <c r="L171" s="1" t="str">
        <f>IF(ISERROR(HLOOKUP($C$10,$F$3:$J$253,169,0)),"",HLOOKUP($C$10,$F$3:$J$253,169,0))</f>
        <v/>
      </c>
      <c r="N171" s="67"/>
      <c r="W171" s="71" t="e">
        <f>IF(AA171="","",AA171*10+3)</f>
        <v>#VALUE!</v>
      </c>
      <c r="X171" s="71" t="str">
        <f>IF(OR(COUNTBLANK(AA171)=1,ISERROR(AA171)),"",COUNT(AA4:AA171))</f>
        <v/>
      </c>
      <c r="Y171" s="7" t="e">
        <f t="shared" si="113"/>
        <v>#VALUE!</v>
      </c>
      <c r="Z171" s="1" t="str">
        <f t="shared" si="127"/>
        <v/>
      </c>
      <c r="AA171" s="79" t="e">
        <f>IF(IF(COUNTIF(AA4:AA170,AA170)&gt;=MAX(D4:D8),AA170+1,AA170)&gt;50,"",IF(COUNTIF(AA4:AA170,AA170)&gt;=MAX(D4:D8),AA170+1,AA170))</f>
        <v>#VALUE!</v>
      </c>
      <c r="AB171" s="1" t="e">
        <f>IF(AA171="","",VLOOKUP(AA171,S4:U53,3,0))</f>
        <v>#VALUE!</v>
      </c>
      <c r="AC171" s="8" t="str">
        <f t="shared" si="114"/>
        <v/>
      </c>
      <c r="AE171" s="71" t="e">
        <f t="shared" si="115"/>
        <v>#VALUE!</v>
      </c>
      <c r="AF171" s="71" t="str">
        <f>IF(OR(COUNTBLANK(AI171)=1,ISERROR(AI171)),"",COUNT(AI4:AI171))</f>
        <v/>
      </c>
      <c r="AG171" s="7" t="e">
        <f t="shared" si="116"/>
        <v>#VALUE!</v>
      </c>
      <c r="AH171" s="1" t="str">
        <f>IF(ISERROR(INDEX(C4:C8,MATCH(G171,D4:D8,0))),"",INDEX(C4:C8,MATCH(G171,D4:D8,0)))</f>
        <v/>
      </c>
      <c r="AI171" s="79" t="e">
        <f>IF(IF(COUNTIF(AI4:AI169,AI169)&gt;=MAX(D4:D8),AI169+2,AI169)&gt;50,"",IF(COUNTIF(AI4:AI169,AI169)&gt;=MAX(D4:D8),AI169+2,AI169))</f>
        <v>#VALUE!</v>
      </c>
      <c r="AJ171" s="1" t="e">
        <f>IF(AI171="","",VLOOKUP(AI171,S4:U53,3,0))</f>
        <v>#VALUE!</v>
      </c>
      <c r="AK171" s="8" t="str">
        <f t="shared" si="117"/>
        <v/>
      </c>
      <c r="AM171" s="71" t="e">
        <f t="shared" si="118"/>
        <v>#VALUE!</v>
      </c>
      <c r="AN171" s="71" t="str">
        <f>IF(OR(COUNTBLANK(AQ171)=1,ISERROR(AQ171)),"",COUNT(AQ4:AQ171))</f>
        <v/>
      </c>
      <c r="AO171" s="7" t="e">
        <f t="shared" si="119"/>
        <v>#VALUE!</v>
      </c>
      <c r="AP171" s="1" t="str">
        <f>IF(ISERROR(INDEX(C4:C8,MATCH(H171,D4:D8,0))),"",INDEX(C4:C8,MATCH(H171,D4:D8,0)))</f>
        <v/>
      </c>
      <c r="AQ171" s="79" t="e">
        <f>IF(IF(COUNTIF(AQ4:AQ170,AQ168)&gt;=MAX(D4:D8),AQ168+3,AQ168)&gt;50,"",IF(COUNTIF(AQ4:AQ170,AQ168)&gt;=MAX(D4:D8),AQ168+3,AQ168))</f>
        <v>#VALUE!</v>
      </c>
      <c r="AR171" s="1" t="e">
        <f>IF(AQ171="","",VLOOKUP(AQ171,S4:U53,3,0))</f>
        <v>#VALUE!</v>
      </c>
      <c r="AS171" s="8" t="str">
        <f t="shared" si="120"/>
        <v/>
      </c>
      <c r="AU171" s="71" t="e">
        <f t="shared" si="121"/>
        <v>#VALUE!</v>
      </c>
      <c r="AV171" s="71" t="str">
        <f>IF(OR(COUNTBLANK(AY171)=1,ISERROR(AY171)),"",COUNT(AY4:AY171))</f>
        <v/>
      </c>
      <c r="AW171" s="7" t="e">
        <f t="shared" si="122"/>
        <v>#VALUE!</v>
      </c>
      <c r="AX171" s="1" t="str">
        <f>IF(ISERROR(INDEX(C4:C8,MATCH(I171,D4:D8,0))),"",INDEX(C4:C8,MATCH(I171,D4:D8,0)))</f>
        <v/>
      </c>
      <c r="AY171" s="79" t="e">
        <f>IF(IF(COUNTIF(AY4:AY170,AY167)&gt;=MAX(D4:D8),AY167+4,AY167)&gt;50,"",IF(COUNTIF(AY4:AY170,AY167)&gt;=MAX(D4:D8),AY167+4,AY167))</f>
        <v>#VALUE!</v>
      </c>
      <c r="AZ171" s="76" t="e">
        <f>IF(AY171="","",VLOOKUP(AY171,S4:U53,3,0))</f>
        <v>#VALUE!</v>
      </c>
      <c r="BA171" s="8" t="str">
        <f t="shared" si="123"/>
        <v/>
      </c>
      <c r="BC171" s="71" t="e">
        <f t="shared" si="124"/>
        <v>#VALUE!</v>
      </c>
      <c r="BD171" s="71" t="str">
        <f>IF(OR(COUNTBLANK(BG171)=1,ISERROR(BG171)),"",COUNT(BG4:BG171))</f>
        <v/>
      </c>
      <c r="BE171" s="7" t="e">
        <f t="shared" si="125"/>
        <v>#VALUE!</v>
      </c>
      <c r="BF171" s="1" t="str">
        <f>IF(ISERROR(INDEX(C4:C8,MATCH(J171,D4:D8,0))),"",INDEX(C4:C8,MATCH(J171,D4:D8,0)))</f>
        <v/>
      </c>
      <c r="BG171" s="79" t="e">
        <f>IF(IF(COUNTIF(BG4:BG170,BG166)&gt;=MAX(D4:D8),BG166+5,BG166)&gt;50,"",IF(COUNTIF(BG4:BG170,BG166)&gt;=MAX(D4:D8),BG166+5,BG166))</f>
        <v>#VALUE!</v>
      </c>
      <c r="BH171" s="76" t="e">
        <f>IF(BG171="","",VLOOKUP(BG171,S4:U53,3,0))</f>
        <v>#VALUE!</v>
      </c>
      <c r="BI171" s="8" t="str">
        <f t="shared" si="126"/>
        <v/>
      </c>
      <c r="BP171" s="71" t="e">
        <f>IF(BT171="","",BT171*10+3)</f>
        <v>#VALUE!</v>
      </c>
      <c r="BQ171" s="71" t="str">
        <f>IF(OR(COUNTBLANK(BT171)=1,ISERROR(BT171)),"",COUNT(BT4:BT171))</f>
        <v/>
      </c>
      <c r="BR171" s="7" t="e">
        <f t="shared" si="128"/>
        <v>#VALUE!</v>
      </c>
      <c r="BS171" s="1" t="str">
        <f t="shared" si="129"/>
        <v/>
      </c>
      <c r="BT171" s="79" t="e">
        <f>IF(IF(COUNTIF($BT$4:BT170,BT170)&gt;=MAX($D$4:$D$8),BT170+1,BT170)&gt;55,"",IF(COUNTIF($BT$4:BT170,BT170)&gt;=MAX($D$4:$D$8),BT170+1,BT170))</f>
        <v>#VALUE!</v>
      </c>
      <c r="BU171" s="1" t="e">
        <f t="shared" si="130"/>
        <v>#VALUE!</v>
      </c>
      <c r="BV171" s="8" t="str">
        <f t="shared" si="131"/>
        <v/>
      </c>
      <c r="BX171" s="71" t="e">
        <f t="shared" si="132"/>
        <v>#VALUE!</v>
      </c>
      <c r="BY171" s="71" t="str">
        <f>IF(OR(COUNTBLANK(CB171)=1,ISERROR(CB171)),"",COUNT($CB$4:CB171))</f>
        <v/>
      </c>
      <c r="BZ171" s="7" t="e">
        <f t="shared" si="133"/>
        <v>#VALUE!</v>
      </c>
      <c r="CA171" s="1" t="str">
        <f t="shared" si="134"/>
        <v/>
      </c>
      <c r="CB171" s="79" t="e">
        <f>IF(IF(COUNTIF($CB$4:CB170,CB169)&gt;=MAX($D$4:$D$8),CB169+2,CB169)&gt;55,"",IF(COUNTIF($CB$4:CB170,CB169)&gt;=MAX($D$4:$D$8),CB169+2,CB169))</f>
        <v>#VALUE!</v>
      </c>
      <c r="CC171" s="1" t="e">
        <f t="shared" si="135"/>
        <v>#VALUE!</v>
      </c>
      <c r="CD171" s="8" t="str">
        <f t="shared" si="136"/>
        <v/>
      </c>
      <c r="CF171" s="71" t="e">
        <f t="shared" si="149"/>
        <v>#VALUE!</v>
      </c>
      <c r="CG171" s="71" t="str">
        <f>IF(OR(COUNTBLANK(CJ171)=1,ISERROR(CJ171)),"",COUNT($CJ$4:CJ171))</f>
        <v/>
      </c>
      <c r="CH171" s="7" t="e">
        <f t="shared" si="150"/>
        <v>#VALUE!</v>
      </c>
      <c r="CI171" s="1" t="str">
        <f t="shared" si="151"/>
        <v/>
      </c>
      <c r="CJ171" s="79" t="e">
        <f>IF(IF(COUNTIF($CJ$4:CJ170,CJ168)&gt;=MAX($D$4:$D$8),CJ168+3,CJ168)&gt;55,"",IF(COUNTIF($CJ$4:CJ170,CJ168)&gt;=MAX($D$4:$D$8),CJ168+3,CJ168))</f>
        <v>#VALUE!</v>
      </c>
      <c r="CK171" s="1" t="e">
        <f t="shared" si="137"/>
        <v>#VALUE!</v>
      </c>
      <c r="CL171" s="8" t="str">
        <f t="shared" si="152"/>
        <v/>
      </c>
      <c r="CN171" s="71" t="e">
        <f t="shared" si="143"/>
        <v>#VALUE!</v>
      </c>
      <c r="CO171" s="71" t="str">
        <f>IF(OR(COUNTBLANK(CR171)=1,ISERROR(CR171)),"",COUNT($CR$4:CR171))</f>
        <v/>
      </c>
      <c r="CP171" s="7" t="e">
        <f t="shared" si="144"/>
        <v>#VALUE!</v>
      </c>
      <c r="CQ171" s="1" t="str">
        <f t="shared" si="145"/>
        <v/>
      </c>
      <c r="CR171" s="79" t="e">
        <f>IF(IF(COUNTIF($CR$4:CR170,CR167)&gt;=MAX($D$4:$D$8),CR167+4,CR167)&gt;55,"",IF(COUNTIF($CR$4:CR170,CR167)&gt;=MAX($D$4:$D$8),CR167+4,CR167))</f>
        <v>#VALUE!</v>
      </c>
      <c r="CS171" s="1" t="e">
        <f t="shared" si="138"/>
        <v>#VALUE!</v>
      </c>
      <c r="CT171" s="8" t="str">
        <f t="shared" si="146"/>
        <v/>
      </c>
      <c r="CV171" s="71" t="e">
        <f t="shared" si="153"/>
        <v>#VALUE!</v>
      </c>
      <c r="CW171" s="71" t="str">
        <f>IF(OR(COUNTBLANK(CZ171)=1,ISERROR(CZ171)),"",COUNT($CZ$4:CZ171))</f>
        <v/>
      </c>
      <c r="CX171" s="7" t="e">
        <f t="shared" si="154"/>
        <v>#VALUE!</v>
      </c>
      <c r="CY171" s="1" t="str">
        <f t="shared" si="155"/>
        <v/>
      </c>
      <c r="CZ171" s="79" t="e">
        <f>IF(IF(COUNTIF($CZ$4:CZ170,CZ166)&gt;=MAX($D$4:$D$8),CZ166+5,CZ166)&gt;55,"",IF(COUNTIF($CZ$4:CZ170,CZ166)&gt;=MAX($D$4:$D$8),CZ166+5,CZ166))</f>
        <v>#VALUE!</v>
      </c>
      <c r="DA171" s="1" t="e">
        <f t="shared" si="139"/>
        <v>#VALUE!</v>
      </c>
      <c r="DB171" s="8" t="str">
        <f t="shared" si="156"/>
        <v/>
      </c>
    </row>
    <row r="172" spans="5:106" x14ac:dyDescent="0.15">
      <c r="E172" s="1">
        <v>169</v>
      </c>
      <c r="F172" s="1">
        <f t="shared" si="140"/>
        <v>1</v>
      </c>
      <c r="G172" s="1">
        <f t="shared" si="147"/>
        <v>1</v>
      </c>
      <c r="H172" s="1">
        <f t="shared" si="141"/>
        <v>1</v>
      </c>
      <c r="I172" s="1">
        <f t="shared" si="142"/>
        <v>1</v>
      </c>
      <c r="J172" s="1">
        <f t="shared" si="148"/>
        <v>1</v>
      </c>
      <c r="L172" s="1" t="str">
        <f>IF(ISERROR(HLOOKUP($C$10,$F$3:$J$253,170,0)),"",HLOOKUP($C$10,$F$3:$J$253,170,0))</f>
        <v/>
      </c>
      <c r="N172" s="67"/>
      <c r="W172" s="71" t="e">
        <f>IF(AA172="","",AA172*10+4)</f>
        <v>#VALUE!</v>
      </c>
      <c r="X172" s="71" t="str">
        <f>IF(OR(COUNTBLANK(AA172)=1,ISERROR(AA172)),"",COUNT(AA4:AA172))</f>
        <v/>
      </c>
      <c r="Y172" s="7" t="e">
        <f t="shared" si="113"/>
        <v>#VALUE!</v>
      </c>
      <c r="Z172" s="1" t="str">
        <f t="shared" si="127"/>
        <v/>
      </c>
      <c r="AA172" s="79" t="e">
        <f>IF(IF(COUNTIF(AA4:AA171,AA171)&gt;=MAX(D4:D8),AA171+1,AA171)&gt;50,"",IF(COUNTIF(AA4:AA171,AA171)&gt;=MAX(D4:D8),AA171+1,AA171))</f>
        <v>#VALUE!</v>
      </c>
      <c r="AB172" s="1" t="e">
        <f>IF(AA172="","",VLOOKUP(AA172,S4:U53,3,0))</f>
        <v>#VALUE!</v>
      </c>
      <c r="AC172" s="8" t="str">
        <f t="shared" si="114"/>
        <v/>
      </c>
      <c r="AE172" s="71" t="e">
        <f t="shared" si="115"/>
        <v>#VALUE!</v>
      </c>
      <c r="AF172" s="71" t="str">
        <f>IF(OR(COUNTBLANK(AI172)=1,ISERROR(AI172)),"",COUNT(AI4:AI172))</f>
        <v/>
      </c>
      <c r="AG172" s="7" t="e">
        <f t="shared" si="116"/>
        <v>#VALUE!</v>
      </c>
      <c r="AH172" s="1" t="str">
        <f>IF(ISERROR(INDEX(C4:C8,MATCH(G172,D4:D8,0))),"",INDEX(C4:C8,MATCH(G172,D4:D8,0)))</f>
        <v/>
      </c>
      <c r="AI172" s="79" t="e">
        <f>IF(IF(COUNTIF(AI4:AI171,AI170)&gt;=MAX(D4:D8),AI170+2,AI170)&gt;50,"",IF(COUNTIF(AI4:AI171,AI170)&gt;=MAX(D4:D8),AI170+2,AI170))</f>
        <v>#VALUE!</v>
      </c>
      <c r="AJ172" s="1" t="e">
        <f>IF(AI172="","",VLOOKUP(AI172,S4:U53,3,0))</f>
        <v>#VALUE!</v>
      </c>
      <c r="AK172" s="8" t="str">
        <f t="shared" si="117"/>
        <v/>
      </c>
      <c r="AM172" s="71" t="e">
        <f t="shared" si="118"/>
        <v>#VALUE!</v>
      </c>
      <c r="AN172" s="71" t="str">
        <f>IF(OR(COUNTBLANK(AQ172)=1,ISERROR(AQ172)),"",COUNT(AQ4:AQ172))</f>
        <v/>
      </c>
      <c r="AO172" s="7" t="e">
        <f t="shared" si="119"/>
        <v>#VALUE!</v>
      </c>
      <c r="AP172" s="1" t="str">
        <f>IF(ISERROR(INDEX(C4:C8,MATCH(H172,D4:D8,0))),"",INDEX(C4:C8,MATCH(H172,D4:D8,0)))</f>
        <v/>
      </c>
      <c r="AQ172" s="79" t="e">
        <f>IF(IF(COUNTIF(AQ4:AQ171,AQ169)&gt;=MAX(D4:D8),AQ169+3,AQ169)&gt;50,"",IF(COUNTIF(AQ4:AQ171,AQ169)&gt;=MAX(D4:D8),AQ169+3,AQ169))</f>
        <v>#VALUE!</v>
      </c>
      <c r="AR172" s="1" t="e">
        <f>IF(AQ172="","",VLOOKUP(AQ172,S4:U53,3,0))</f>
        <v>#VALUE!</v>
      </c>
      <c r="AS172" s="8" t="str">
        <f t="shared" si="120"/>
        <v/>
      </c>
      <c r="AU172" s="71" t="e">
        <f t="shared" si="121"/>
        <v>#VALUE!</v>
      </c>
      <c r="AV172" s="71" t="str">
        <f>IF(OR(COUNTBLANK(AY172)=1,ISERROR(AY172)),"",COUNT(AY4:AY172))</f>
        <v/>
      </c>
      <c r="AW172" s="7" t="e">
        <f t="shared" si="122"/>
        <v>#VALUE!</v>
      </c>
      <c r="AX172" s="1" t="str">
        <f>IF(ISERROR(INDEX(C4:C8,MATCH(I172,D4:D8,0))),"",INDEX(C4:C8,MATCH(I172,D4:D8,0)))</f>
        <v/>
      </c>
      <c r="AY172" s="79" t="e">
        <f>IF(IF(COUNTIF(AY4:AY171,AY168)&gt;=MAX(D4:D8),AY168+4,AY168)&gt;50,"",IF(COUNTIF(AY4:AY171,AY168)&gt;=MAX(D4:D8),AY168+4,AY168))</f>
        <v>#VALUE!</v>
      </c>
      <c r="AZ172" s="76" t="e">
        <f>IF(AY172="","",VLOOKUP(AY172,S4:U53,3,0))</f>
        <v>#VALUE!</v>
      </c>
      <c r="BA172" s="8" t="str">
        <f t="shared" si="123"/>
        <v/>
      </c>
      <c r="BC172" s="71" t="e">
        <f t="shared" si="124"/>
        <v>#VALUE!</v>
      </c>
      <c r="BD172" s="71" t="str">
        <f>IF(OR(COUNTBLANK(BG172)=1,ISERROR(BG172)),"",COUNT(BG4:BG172))</f>
        <v/>
      </c>
      <c r="BE172" s="7" t="e">
        <f t="shared" si="125"/>
        <v>#VALUE!</v>
      </c>
      <c r="BF172" s="1" t="str">
        <f>IF(ISERROR(INDEX(C4:C8,MATCH(J172,D4:D8,0))),"",INDEX(C4:C8,MATCH(J172,D4:D8,0)))</f>
        <v/>
      </c>
      <c r="BG172" s="79" t="e">
        <f>IF(IF(COUNTIF(BG4:BG171,BG167)&gt;=MAX(D4:D8),BG167+5,BG167)&gt;50,"",IF(COUNTIF(BG4:BG171,BG167)&gt;=MAX(D4:D8),BG167+5,BG167))</f>
        <v>#VALUE!</v>
      </c>
      <c r="BH172" s="76" t="e">
        <f>IF(BG172="","",VLOOKUP(BG172,S4:U53,3,0))</f>
        <v>#VALUE!</v>
      </c>
      <c r="BI172" s="8" t="str">
        <f t="shared" si="126"/>
        <v/>
      </c>
      <c r="BP172" s="71" t="e">
        <f>IF(BT172="","",BT172*10+4)</f>
        <v>#VALUE!</v>
      </c>
      <c r="BQ172" s="71" t="str">
        <f>IF(OR(COUNTBLANK(BT172)=1,ISERROR(BT172)),"",COUNT(BT4:BT172))</f>
        <v/>
      </c>
      <c r="BR172" s="7" t="e">
        <f t="shared" si="128"/>
        <v>#VALUE!</v>
      </c>
      <c r="BS172" s="1" t="str">
        <f t="shared" si="129"/>
        <v/>
      </c>
      <c r="BT172" s="79" t="e">
        <f>IF(IF(COUNTIF($BT$4:BT171,BT171)&gt;=MAX($D$4:$D$8),BT171+1,BT171)&gt;55,"",IF(COUNTIF($BT$4:BT171,BT171)&gt;=MAX($D$4:$D$8),BT171+1,BT171))</f>
        <v>#VALUE!</v>
      </c>
      <c r="BU172" s="1" t="e">
        <f t="shared" si="130"/>
        <v>#VALUE!</v>
      </c>
      <c r="BV172" s="8" t="str">
        <f t="shared" si="131"/>
        <v/>
      </c>
      <c r="BX172" s="71" t="e">
        <f t="shared" si="132"/>
        <v>#VALUE!</v>
      </c>
      <c r="BY172" s="71" t="str">
        <f>IF(OR(COUNTBLANK(CB172)=1,ISERROR(CB172)),"",COUNT($CB$4:CB172))</f>
        <v/>
      </c>
      <c r="BZ172" s="7" t="e">
        <f t="shared" si="133"/>
        <v>#VALUE!</v>
      </c>
      <c r="CA172" s="1" t="str">
        <f t="shared" si="134"/>
        <v/>
      </c>
      <c r="CB172" s="79" t="e">
        <f>IF(IF(COUNTIF($CB$4:CB171,CB170)&gt;=MAX($D$4:$D$8),CB170+2,CB170)&gt;55,"",IF(COUNTIF($CB$4:CB171,CB170)&gt;=MAX($D$4:$D$8),CB170+2,CB170))</f>
        <v>#VALUE!</v>
      </c>
      <c r="CC172" s="1" t="e">
        <f t="shared" si="135"/>
        <v>#VALUE!</v>
      </c>
      <c r="CD172" s="8" t="str">
        <f t="shared" si="136"/>
        <v/>
      </c>
      <c r="CF172" s="71" t="e">
        <f t="shared" si="149"/>
        <v>#VALUE!</v>
      </c>
      <c r="CG172" s="71" t="str">
        <f>IF(OR(COUNTBLANK(CJ172)=1,ISERROR(CJ172)),"",COUNT($CJ$4:CJ172))</f>
        <v/>
      </c>
      <c r="CH172" s="7" t="e">
        <f t="shared" si="150"/>
        <v>#VALUE!</v>
      </c>
      <c r="CI172" s="1" t="str">
        <f t="shared" si="151"/>
        <v/>
      </c>
      <c r="CJ172" s="79" t="e">
        <f>IF(IF(COUNTIF($CJ$4:CJ171,CJ169)&gt;=MAX($D$4:$D$8),CJ169+3,CJ169)&gt;55,"",IF(COUNTIF($CJ$4:CJ171,CJ169)&gt;=MAX($D$4:$D$8),CJ169+3,CJ169))</f>
        <v>#VALUE!</v>
      </c>
      <c r="CK172" s="1" t="e">
        <f t="shared" si="137"/>
        <v>#VALUE!</v>
      </c>
      <c r="CL172" s="8" t="str">
        <f t="shared" si="152"/>
        <v/>
      </c>
      <c r="CN172" s="71" t="e">
        <f t="shared" si="143"/>
        <v>#VALUE!</v>
      </c>
      <c r="CO172" s="71" t="str">
        <f>IF(OR(COUNTBLANK(CR172)=1,ISERROR(CR172)),"",COUNT($CR$4:CR172))</f>
        <v/>
      </c>
      <c r="CP172" s="7" t="e">
        <f t="shared" si="144"/>
        <v>#VALUE!</v>
      </c>
      <c r="CQ172" s="1" t="str">
        <f t="shared" si="145"/>
        <v/>
      </c>
      <c r="CR172" s="79" t="e">
        <f>IF(IF(COUNTIF($CR$4:CR171,CR168)&gt;=MAX($D$4:$D$8),CR168+4,CR168)&gt;55,"",IF(COUNTIF($CR$4:CR171,CR168)&gt;=MAX($D$4:$D$8),CR168+4,CR168))</f>
        <v>#VALUE!</v>
      </c>
      <c r="CS172" s="1" t="e">
        <f t="shared" si="138"/>
        <v>#VALUE!</v>
      </c>
      <c r="CT172" s="8" t="str">
        <f t="shared" si="146"/>
        <v/>
      </c>
      <c r="CV172" s="71" t="e">
        <f t="shared" si="153"/>
        <v>#VALUE!</v>
      </c>
      <c r="CW172" s="71" t="str">
        <f>IF(OR(COUNTBLANK(CZ172)=1,ISERROR(CZ172)),"",COUNT($CZ$4:CZ172))</f>
        <v/>
      </c>
      <c r="CX172" s="7" t="e">
        <f t="shared" si="154"/>
        <v>#VALUE!</v>
      </c>
      <c r="CY172" s="1" t="str">
        <f t="shared" si="155"/>
        <v/>
      </c>
      <c r="CZ172" s="79" t="e">
        <f>IF(IF(COUNTIF($CZ$4:CZ171,CZ167)&gt;=MAX($D$4:$D$8),CZ167+5,CZ167)&gt;55,"",IF(COUNTIF($CZ$4:CZ171,CZ167)&gt;=MAX($D$4:$D$8),CZ167+5,CZ167))</f>
        <v>#VALUE!</v>
      </c>
      <c r="DA172" s="1" t="e">
        <f t="shared" si="139"/>
        <v>#VALUE!</v>
      </c>
      <c r="DB172" s="8" t="str">
        <f t="shared" si="156"/>
        <v/>
      </c>
    </row>
    <row r="173" spans="5:106" x14ac:dyDescent="0.15">
      <c r="E173" s="1">
        <v>170</v>
      </c>
      <c r="F173" s="1">
        <f t="shared" si="140"/>
        <v>1</v>
      </c>
      <c r="G173" s="1">
        <f t="shared" si="147"/>
        <v>1</v>
      </c>
      <c r="H173" s="1">
        <f t="shared" si="141"/>
        <v>1</v>
      </c>
      <c r="I173" s="1">
        <f t="shared" si="142"/>
        <v>1</v>
      </c>
      <c r="J173" s="1">
        <f t="shared" si="148"/>
        <v>1</v>
      </c>
      <c r="L173" s="1" t="str">
        <f>IF(ISERROR(HLOOKUP($C$10,$F$3:$J$253,171,0)),"",HLOOKUP($C$10,$F$3:$J$253,171,0))</f>
        <v/>
      </c>
      <c r="N173" s="67"/>
      <c r="W173" s="71" t="e">
        <f>IF(AA173="","",AA173*10+5)</f>
        <v>#VALUE!</v>
      </c>
      <c r="X173" s="71" t="str">
        <f>IF(OR(COUNTBLANK(AA173)=1,ISERROR(AA173)),"",COUNT(AA4:AA173))</f>
        <v/>
      </c>
      <c r="Y173" s="7" t="e">
        <f t="shared" si="113"/>
        <v>#VALUE!</v>
      </c>
      <c r="Z173" s="1" t="str">
        <f t="shared" si="127"/>
        <v/>
      </c>
      <c r="AA173" s="79" t="e">
        <f>IF(IF(COUNTIF(AA4:AA172,AA172)&gt;=MAX(D4:D8),AA172+1,AA172)&gt;50,"",IF(COUNTIF(AA4:AA172,AA172)&gt;=MAX(D4:D8),AA172+1,AA172))</f>
        <v>#VALUE!</v>
      </c>
      <c r="AB173" s="1" t="e">
        <f>IF(AA173="","",VLOOKUP(AA173,S4:U53,3,0))</f>
        <v>#VALUE!</v>
      </c>
      <c r="AC173" s="8" t="str">
        <f t="shared" si="114"/>
        <v/>
      </c>
      <c r="AE173" s="71" t="e">
        <f t="shared" si="115"/>
        <v>#VALUE!</v>
      </c>
      <c r="AF173" s="71" t="str">
        <f>IF(OR(COUNTBLANK(AI173)=1,ISERROR(AI173)),"",COUNT(AI4:AI173))</f>
        <v/>
      </c>
      <c r="AG173" s="7" t="e">
        <f t="shared" si="116"/>
        <v>#VALUE!</v>
      </c>
      <c r="AH173" s="1" t="str">
        <f>IF(ISERROR(INDEX(C4:C8,MATCH(G173,D4:D8,0))),"",INDEX(C4:C8,MATCH(G173,D4:D8,0)))</f>
        <v/>
      </c>
      <c r="AI173" s="79" t="e">
        <f>IF(IF(COUNTIF(AI4:AI171,AI171)&gt;=MAX(D4:D8),AI171+2,AI171)&gt;50,"",IF(COUNTIF(AI4:AI171,AI171)&gt;=MAX(D4:D8),AI171+2,AI171))</f>
        <v>#VALUE!</v>
      </c>
      <c r="AJ173" s="1" t="e">
        <f>IF(AI173="","",VLOOKUP(AI173,S4:U53,3,0))</f>
        <v>#VALUE!</v>
      </c>
      <c r="AK173" s="8" t="str">
        <f t="shared" si="117"/>
        <v/>
      </c>
      <c r="AM173" s="71" t="e">
        <f t="shared" si="118"/>
        <v>#VALUE!</v>
      </c>
      <c r="AN173" s="71" t="str">
        <f>IF(OR(COUNTBLANK(AQ173)=1,ISERROR(AQ173)),"",COUNT(AQ4:AQ173))</f>
        <v/>
      </c>
      <c r="AO173" s="7" t="e">
        <f t="shared" si="119"/>
        <v>#VALUE!</v>
      </c>
      <c r="AP173" s="1" t="str">
        <f>IF(ISERROR(INDEX(C4:C8,MATCH(H173,D4:D8,0))),"",INDEX(C4:C8,MATCH(H173,D4:D8,0)))</f>
        <v/>
      </c>
      <c r="AQ173" s="79" t="e">
        <f>IF(IF(COUNTIF(AQ4:AQ172,AQ170)&gt;=MAX(D4:D8),AQ170+3,AQ170)&gt;50,"",IF(COUNTIF(AQ4:AQ172,AQ170)&gt;=MAX(D4:D8),AQ170+3,AQ170))</f>
        <v>#VALUE!</v>
      </c>
      <c r="AR173" s="1" t="e">
        <f>IF(AQ173="","",VLOOKUP(AQ173,S4:U53,3,0))</f>
        <v>#VALUE!</v>
      </c>
      <c r="AS173" s="8" t="str">
        <f t="shared" si="120"/>
        <v/>
      </c>
      <c r="AU173" s="71" t="e">
        <f t="shared" si="121"/>
        <v>#VALUE!</v>
      </c>
      <c r="AV173" s="71" t="str">
        <f>IF(OR(COUNTBLANK(AY173)=1,ISERROR(AY173)),"",COUNT(AY4:AY173))</f>
        <v/>
      </c>
      <c r="AW173" s="7" t="e">
        <f t="shared" si="122"/>
        <v>#VALUE!</v>
      </c>
      <c r="AX173" s="1" t="str">
        <f>IF(ISERROR(INDEX(C4:C8,MATCH(I173,D4:D8,0))),"",INDEX(C4:C8,MATCH(I173,D4:D8,0)))</f>
        <v/>
      </c>
      <c r="AY173" s="79" t="e">
        <f>IF(IF(COUNTIF(AY4:AY172,AY169)&gt;=MAX(D4:D8),AY169+4,AY169)&gt;50,"",IF(COUNTIF(AY4:AY172,AY169)&gt;=MAX(D4:D8),AY169+4,AY169))</f>
        <v>#VALUE!</v>
      </c>
      <c r="AZ173" s="76" t="e">
        <f>IF(AY173="","",VLOOKUP(AY173,S4:U53,3,0))</f>
        <v>#VALUE!</v>
      </c>
      <c r="BA173" s="8" t="str">
        <f t="shared" si="123"/>
        <v/>
      </c>
      <c r="BC173" s="71" t="e">
        <f t="shared" si="124"/>
        <v>#VALUE!</v>
      </c>
      <c r="BD173" s="71" t="str">
        <f>IF(OR(COUNTBLANK(BG173)=1,ISERROR(BG173)),"",COUNT(BG4:BG173))</f>
        <v/>
      </c>
      <c r="BE173" s="7" t="e">
        <f t="shared" si="125"/>
        <v>#VALUE!</v>
      </c>
      <c r="BF173" s="1" t="str">
        <f>IF(ISERROR(INDEX(C4:C8,MATCH(J173,D4:D8,0))),"",INDEX(C4:C8,MATCH(J173,D4:D8,0)))</f>
        <v/>
      </c>
      <c r="BG173" s="79" t="e">
        <f>IF(IF(COUNTIF(BG4:BG172,BG168)&gt;=MAX(D4:D8),BG168+5,BG168)&gt;50,"",IF(COUNTIF(BG4:BG172,BG168)&gt;=MAX(D4:D8),BG168+5,BG168))</f>
        <v>#VALUE!</v>
      </c>
      <c r="BH173" s="76" t="e">
        <f>IF(BG173="","",VLOOKUP(BG173,S4:U53,3,0))</f>
        <v>#VALUE!</v>
      </c>
      <c r="BI173" s="8" t="str">
        <f t="shared" si="126"/>
        <v/>
      </c>
      <c r="BP173" s="71" t="e">
        <f>IF(BT173="","",BT173*10+5)</f>
        <v>#VALUE!</v>
      </c>
      <c r="BQ173" s="71" t="str">
        <f>IF(OR(COUNTBLANK(BT173)=1,ISERROR(BT173)),"",COUNT(BT4:BT173))</f>
        <v/>
      </c>
      <c r="BR173" s="7" t="e">
        <f t="shared" si="128"/>
        <v>#VALUE!</v>
      </c>
      <c r="BS173" s="1" t="str">
        <f t="shared" si="129"/>
        <v/>
      </c>
      <c r="BT173" s="79" t="e">
        <f>IF(IF(COUNTIF($BT$4:BT172,BT172)&gt;=MAX($D$4:$D$8),BT172+1,BT172)&gt;55,"",IF(COUNTIF($BT$4:BT172,BT172)&gt;=MAX($D$4:$D$8),BT172+1,BT172))</f>
        <v>#VALUE!</v>
      </c>
      <c r="BU173" s="1" t="e">
        <f t="shared" si="130"/>
        <v>#VALUE!</v>
      </c>
      <c r="BV173" s="8" t="str">
        <f t="shared" si="131"/>
        <v/>
      </c>
      <c r="BX173" s="71" t="e">
        <f t="shared" si="132"/>
        <v>#VALUE!</v>
      </c>
      <c r="BY173" s="71" t="str">
        <f>IF(OR(COUNTBLANK(CB173)=1,ISERROR(CB173)),"",COUNT($CB$4:CB173))</f>
        <v/>
      </c>
      <c r="BZ173" s="7" t="e">
        <f t="shared" si="133"/>
        <v>#VALUE!</v>
      </c>
      <c r="CA173" s="1" t="str">
        <f t="shared" si="134"/>
        <v/>
      </c>
      <c r="CB173" s="79" t="e">
        <f>IF(IF(COUNTIF($CB$4:CB172,CB171)&gt;=MAX($D$4:$D$8),CB171+2,CB171)&gt;55,"",IF(COUNTIF($CB$4:CB172,CB171)&gt;=MAX($D$4:$D$8),CB171+2,CB171))</f>
        <v>#VALUE!</v>
      </c>
      <c r="CC173" s="1" t="e">
        <f t="shared" si="135"/>
        <v>#VALUE!</v>
      </c>
      <c r="CD173" s="8" t="str">
        <f t="shared" si="136"/>
        <v/>
      </c>
      <c r="CF173" s="71" t="e">
        <f t="shared" si="149"/>
        <v>#VALUE!</v>
      </c>
      <c r="CG173" s="71" t="str">
        <f>IF(OR(COUNTBLANK(CJ173)=1,ISERROR(CJ173)),"",COUNT($CJ$4:CJ173))</f>
        <v/>
      </c>
      <c r="CH173" s="7" t="e">
        <f t="shared" si="150"/>
        <v>#VALUE!</v>
      </c>
      <c r="CI173" s="1" t="str">
        <f t="shared" si="151"/>
        <v/>
      </c>
      <c r="CJ173" s="79" t="e">
        <f>IF(IF(COUNTIF($CJ$4:CJ172,CJ170)&gt;=MAX($D$4:$D$8),CJ170+3,CJ170)&gt;55,"",IF(COUNTIF($CJ$4:CJ172,CJ170)&gt;=MAX($D$4:$D$8),CJ170+3,CJ170))</f>
        <v>#VALUE!</v>
      </c>
      <c r="CK173" s="1" t="e">
        <f t="shared" si="137"/>
        <v>#VALUE!</v>
      </c>
      <c r="CL173" s="8" t="str">
        <f t="shared" si="152"/>
        <v/>
      </c>
      <c r="CN173" s="71" t="e">
        <f t="shared" si="143"/>
        <v>#VALUE!</v>
      </c>
      <c r="CO173" s="71" t="str">
        <f>IF(OR(COUNTBLANK(CR173)=1,ISERROR(CR173)),"",COUNT($CR$4:CR173))</f>
        <v/>
      </c>
      <c r="CP173" s="7" t="e">
        <f t="shared" si="144"/>
        <v>#VALUE!</v>
      </c>
      <c r="CQ173" s="1" t="str">
        <f t="shared" si="145"/>
        <v/>
      </c>
      <c r="CR173" s="79" t="e">
        <f>IF(IF(COUNTIF($CR$4:CR172,CR169)&gt;=MAX($D$4:$D$8),CR169+4,CR169)&gt;55,"",IF(COUNTIF($CR$4:CR172,CR169)&gt;=MAX($D$4:$D$8),CR169+4,CR169))</f>
        <v>#VALUE!</v>
      </c>
      <c r="CS173" s="1" t="e">
        <f t="shared" si="138"/>
        <v>#VALUE!</v>
      </c>
      <c r="CT173" s="8" t="str">
        <f t="shared" si="146"/>
        <v/>
      </c>
      <c r="CV173" s="71" t="e">
        <f t="shared" si="153"/>
        <v>#VALUE!</v>
      </c>
      <c r="CW173" s="71" t="str">
        <f>IF(OR(COUNTBLANK(CZ173)=1,ISERROR(CZ173)),"",COUNT($CZ$4:CZ173))</f>
        <v/>
      </c>
      <c r="CX173" s="7" t="e">
        <f t="shared" si="154"/>
        <v>#VALUE!</v>
      </c>
      <c r="CY173" s="1" t="str">
        <f t="shared" si="155"/>
        <v/>
      </c>
      <c r="CZ173" s="79" t="e">
        <f>IF(IF(COUNTIF($CZ$4:CZ172,CZ168)&gt;=MAX($D$4:$D$8),CZ168+5,CZ168)&gt;55,"",IF(COUNTIF($CZ$4:CZ172,CZ168)&gt;=MAX($D$4:$D$8),CZ168+5,CZ168))</f>
        <v>#VALUE!</v>
      </c>
      <c r="DA173" s="1" t="e">
        <f t="shared" si="139"/>
        <v>#VALUE!</v>
      </c>
      <c r="DB173" s="8" t="str">
        <f t="shared" si="156"/>
        <v/>
      </c>
    </row>
    <row r="174" spans="5:106" x14ac:dyDescent="0.15">
      <c r="E174" s="1">
        <v>171</v>
      </c>
      <c r="F174" s="1">
        <f t="shared" si="140"/>
        <v>1</v>
      </c>
      <c r="G174" s="1">
        <f t="shared" si="147"/>
        <v>1</v>
      </c>
      <c r="H174" s="1">
        <f t="shared" si="141"/>
        <v>1</v>
      </c>
      <c r="I174" s="1">
        <f t="shared" si="142"/>
        <v>1</v>
      </c>
      <c r="J174" s="1">
        <f t="shared" si="148"/>
        <v>1</v>
      </c>
      <c r="L174" s="1" t="str">
        <f>IF(ISERROR(HLOOKUP($C$10,$F$3:$J$253,172,0)),"",HLOOKUP($C$10,$F$3:$J$253,172,0))</f>
        <v/>
      </c>
      <c r="N174" s="67"/>
      <c r="W174" s="71" t="e">
        <f>IF(AA174="","",AA174*10+1)</f>
        <v>#VALUE!</v>
      </c>
      <c r="X174" s="71" t="str">
        <f>IF(OR(COUNTBLANK(AA174)=1,ISERROR(AA174)),"",COUNT(AA4:AA174))</f>
        <v/>
      </c>
      <c r="Y174" s="7" t="e">
        <f t="shared" si="113"/>
        <v>#VALUE!</v>
      </c>
      <c r="Z174" s="1" t="str">
        <f t="shared" si="127"/>
        <v/>
      </c>
      <c r="AA174" s="79" t="e">
        <f>IF(IF(COUNTIF(AA4:AA173,AA173)&gt;=MAX(D4:D8),AA173+1,AA173)&gt;50,"",IF(COUNTIF(AA4:AA173,AA173)&gt;=MAX(D4:D8),AA173+1,AA173))</f>
        <v>#VALUE!</v>
      </c>
      <c r="AB174" s="1" t="e">
        <f>IF(AA174="","",VLOOKUP(AA174,S4:U53,3,0))</f>
        <v>#VALUE!</v>
      </c>
      <c r="AC174" s="8" t="str">
        <f t="shared" si="114"/>
        <v/>
      </c>
      <c r="AE174" s="71" t="e">
        <f t="shared" si="115"/>
        <v>#VALUE!</v>
      </c>
      <c r="AF174" s="71" t="str">
        <f>IF(OR(COUNTBLANK(AI174)=1,ISERROR(AI174)),"",COUNT(AI4:AI174))</f>
        <v/>
      </c>
      <c r="AG174" s="7" t="e">
        <f t="shared" si="116"/>
        <v>#VALUE!</v>
      </c>
      <c r="AH174" s="1" t="str">
        <f>IF(ISERROR(INDEX(C4:C8,MATCH(G174,D4:D8,0))),"",INDEX(C4:C8,MATCH(G174,D4:D8,0)))</f>
        <v/>
      </c>
      <c r="AI174" s="79" t="e">
        <f>IF(IF(COUNTIF(AI4:AI173,AI172)&gt;=MAX(D4:D8),AI172+2,AI172)&gt;50,"",IF(COUNTIF(AI4:AI173,AI172)&gt;=MAX(D4:D8),AI172+2,AI172))</f>
        <v>#VALUE!</v>
      </c>
      <c r="AJ174" s="1" t="e">
        <f>IF(AI174="","",VLOOKUP(AI174,S4:U53,3,0))</f>
        <v>#VALUE!</v>
      </c>
      <c r="AK174" s="8" t="str">
        <f t="shared" si="117"/>
        <v/>
      </c>
      <c r="AM174" s="71" t="e">
        <f t="shared" si="118"/>
        <v>#VALUE!</v>
      </c>
      <c r="AN174" s="71" t="str">
        <f>IF(OR(COUNTBLANK(AQ174)=1,ISERROR(AQ174)),"",COUNT(AQ4:AQ174))</f>
        <v/>
      </c>
      <c r="AO174" s="7" t="e">
        <f t="shared" si="119"/>
        <v>#VALUE!</v>
      </c>
      <c r="AP174" s="1" t="str">
        <f>IF(ISERROR(INDEX(C4:C8,MATCH(H174,D4:D8,0))),"",INDEX(C4:C8,MATCH(H174,D4:D8,0)))</f>
        <v/>
      </c>
      <c r="AQ174" s="79" t="e">
        <f>IF(IF(COUNTIF(AQ4:AQ173,AQ171)&gt;=MAX(D4:D8),AQ171+3,AQ171)&gt;50,"",IF(COUNTIF(AQ4:AQ173,AQ171)&gt;=MAX(D4:D8),AQ171+3,AQ171))</f>
        <v>#VALUE!</v>
      </c>
      <c r="AR174" s="1" t="e">
        <f>IF(AQ174="","",VLOOKUP(AQ174,S4:U53,3,0))</f>
        <v>#VALUE!</v>
      </c>
      <c r="AS174" s="8" t="str">
        <f t="shared" si="120"/>
        <v/>
      </c>
      <c r="AU174" s="71" t="e">
        <f t="shared" si="121"/>
        <v>#VALUE!</v>
      </c>
      <c r="AV174" s="71" t="str">
        <f>IF(OR(COUNTBLANK(AY174)=1,ISERROR(AY174)),"",COUNT(AY4:AY174))</f>
        <v/>
      </c>
      <c r="AW174" s="7" t="e">
        <f t="shared" si="122"/>
        <v>#VALUE!</v>
      </c>
      <c r="AX174" s="1" t="str">
        <f>IF(ISERROR(INDEX(C4:C8,MATCH(I174,D4:D8,0))),"",INDEX(C4:C8,MATCH(I174,D4:D8,0)))</f>
        <v/>
      </c>
      <c r="AY174" s="79" t="e">
        <f>IF(IF(COUNTIF(AY4:AY173,AY170)&gt;=MAX(D4:D8),AY170+4,AY170)&gt;50,"",IF(COUNTIF(AY4:AY173,AY170)&gt;=MAX(D4:D8),AY170+4,AY170))</f>
        <v>#VALUE!</v>
      </c>
      <c r="AZ174" s="76" t="e">
        <f>IF(AY174="","",VLOOKUP(AY174,S4:U53,3,0))</f>
        <v>#VALUE!</v>
      </c>
      <c r="BA174" s="8" t="str">
        <f t="shared" si="123"/>
        <v/>
      </c>
      <c r="BC174" s="71" t="e">
        <f t="shared" si="124"/>
        <v>#VALUE!</v>
      </c>
      <c r="BD174" s="71" t="str">
        <f>IF(OR(COUNTBLANK(BG174)=1,ISERROR(BG174)),"",COUNT(BG4:BG174))</f>
        <v/>
      </c>
      <c r="BE174" s="7" t="e">
        <f t="shared" si="125"/>
        <v>#VALUE!</v>
      </c>
      <c r="BF174" s="1" t="str">
        <f>IF(ISERROR(INDEX(C4:C8,MATCH(J174,D4:D8,0))),"",INDEX(C4:C8,MATCH(J174,D4:D8,0)))</f>
        <v/>
      </c>
      <c r="BG174" s="79" t="e">
        <f>IF(IF(COUNTIF(BG4:BG173,BG169)&gt;=MAX(D4:D8),BG169+5,BG169)&gt;50,"",IF(COUNTIF(BG4:BG173,BG169)&gt;=MAX(D4:D8),BG169+5,BG169))</f>
        <v>#VALUE!</v>
      </c>
      <c r="BH174" s="76" t="e">
        <f>IF(BG174="","",VLOOKUP(BG174,S4:U53,3,0))</f>
        <v>#VALUE!</v>
      </c>
      <c r="BI174" s="8" t="str">
        <f t="shared" si="126"/>
        <v/>
      </c>
      <c r="BP174" s="71" t="e">
        <f>IF(BT174="","",BT174*10+1)</f>
        <v>#VALUE!</v>
      </c>
      <c r="BQ174" s="71" t="str">
        <f>IF(OR(COUNTBLANK(BT174)=1,ISERROR(BT174)),"",COUNT(BT4:BT174))</f>
        <v/>
      </c>
      <c r="BR174" s="7" t="e">
        <f t="shared" si="128"/>
        <v>#VALUE!</v>
      </c>
      <c r="BS174" s="1" t="str">
        <f t="shared" si="129"/>
        <v/>
      </c>
      <c r="BT174" s="79" t="e">
        <f>IF(IF(COUNTIF($BT$4:BT173,BT173)&gt;=MAX($D$4:$D$8),BT173+1,BT173)&gt;55,"",IF(COUNTIF($BT$4:BT173,BT173)&gt;=MAX($D$4:$D$8),BT173+1,BT173))</f>
        <v>#VALUE!</v>
      </c>
      <c r="BU174" s="1" t="e">
        <f t="shared" si="130"/>
        <v>#VALUE!</v>
      </c>
      <c r="BV174" s="8" t="str">
        <f t="shared" si="131"/>
        <v/>
      </c>
      <c r="BX174" s="71" t="e">
        <f t="shared" si="132"/>
        <v>#VALUE!</v>
      </c>
      <c r="BY174" s="71" t="str">
        <f>IF(OR(COUNTBLANK(CB174)=1,ISERROR(CB174)),"",COUNT($CB$4:CB174))</f>
        <v/>
      </c>
      <c r="BZ174" s="7" t="e">
        <f t="shared" si="133"/>
        <v>#VALUE!</v>
      </c>
      <c r="CA174" s="1" t="str">
        <f t="shared" si="134"/>
        <v/>
      </c>
      <c r="CB174" s="79" t="e">
        <f>IF(IF(COUNTIF($CB$4:CB173,CB172)&gt;=MAX($D$4:$D$8),CB172+2,CB172)&gt;55,"",IF(COUNTIF($CB$4:CB173,CB172)&gt;=MAX($D$4:$D$8),CB172+2,CB172))</f>
        <v>#VALUE!</v>
      </c>
      <c r="CC174" s="1" t="e">
        <f t="shared" si="135"/>
        <v>#VALUE!</v>
      </c>
      <c r="CD174" s="8" t="str">
        <f t="shared" si="136"/>
        <v/>
      </c>
      <c r="CF174" s="71" t="e">
        <f t="shared" si="149"/>
        <v>#VALUE!</v>
      </c>
      <c r="CG174" s="71" t="str">
        <f>IF(OR(COUNTBLANK(CJ174)=1,ISERROR(CJ174)),"",COUNT($CJ$4:CJ174))</f>
        <v/>
      </c>
      <c r="CH174" s="7" t="e">
        <f t="shared" si="150"/>
        <v>#VALUE!</v>
      </c>
      <c r="CI174" s="1" t="str">
        <f t="shared" si="151"/>
        <v/>
      </c>
      <c r="CJ174" s="79" t="e">
        <f>IF(IF(COUNTIF($CJ$4:CJ173,CJ171)&gt;=MAX($D$4:$D$8),CJ171+3,CJ171)&gt;55,"",IF(COUNTIF($CJ$4:CJ173,CJ171)&gt;=MAX($D$4:$D$8),CJ171+3,CJ171))</f>
        <v>#VALUE!</v>
      </c>
      <c r="CK174" s="1" t="e">
        <f t="shared" si="137"/>
        <v>#VALUE!</v>
      </c>
      <c r="CL174" s="8" t="str">
        <f t="shared" si="152"/>
        <v/>
      </c>
      <c r="CN174" s="71" t="e">
        <f t="shared" si="143"/>
        <v>#VALUE!</v>
      </c>
      <c r="CO174" s="71" t="str">
        <f>IF(OR(COUNTBLANK(CR174)=1,ISERROR(CR174)),"",COUNT($CR$4:CR174))</f>
        <v/>
      </c>
      <c r="CP174" s="7" t="e">
        <f t="shared" si="144"/>
        <v>#VALUE!</v>
      </c>
      <c r="CQ174" s="1" t="str">
        <f t="shared" si="145"/>
        <v/>
      </c>
      <c r="CR174" s="79" t="e">
        <f>IF(IF(COUNTIF($CR$4:CR173,CR170)&gt;=MAX($D$4:$D$8),CR170+4,CR170)&gt;55,"",IF(COUNTIF($CR$4:CR173,CR170)&gt;=MAX($D$4:$D$8),CR170+4,CR170))</f>
        <v>#VALUE!</v>
      </c>
      <c r="CS174" s="1" t="e">
        <f t="shared" si="138"/>
        <v>#VALUE!</v>
      </c>
      <c r="CT174" s="8" t="str">
        <f t="shared" si="146"/>
        <v/>
      </c>
      <c r="CV174" s="71" t="e">
        <f t="shared" si="153"/>
        <v>#VALUE!</v>
      </c>
      <c r="CW174" s="71" t="str">
        <f>IF(OR(COUNTBLANK(CZ174)=1,ISERROR(CZ174)),"",COUNT($CZ$4:CZ174))</f>
        <v/>
      </c>
      <c r="CX174" s="7" t="e">
        <f t="shared" si="154"/>
        <v>#VALUE!</v>
      </c>
      <c r="CY174" s="1" t="str">
        <f t="shared" si="155"/>
        <v/>
      </c>
      <c r="CZ174" s="79" t="e">
        <f>IF(IF(COUNTIF($CZ$4:CZ173,CZ169)&gt;=MAX($D$4:$D$8),CZ169+5,CZ169)&gt;55,"",IF(COUNTIF($CZ$4:CZ173,CZ169)&gt;=MAX($D$4:$D$8),CZ169+5,CZ169))</f>
        <v>#VALUE!</v>
      </c>
      <c r="DA174" s="1" t="e">
        <f t="shared" si="139"/>
        <v>#VALUE!</v>
      </c>
      <c r="DB174" s="8" t="str">
        <f t="shared" si="156"/>
        <v/>
      </c>
    </row>
    <row r="175" spans="5:106" x14ac:dyDescent="0.15">
      <c r="E175" s="1">
        <v>172</v>
      </c>
      <c r="F175" s="1">
        <f t="shared" si="140"/>
        <v>1</v>
      </c>
      <c r="G175" s="1">
        <f t="shared" si="147"/>
        <v>1</v>
      </c>
      <c r="H175" s="1">
        <f t="shared" si="141"/>
        <v>1</v>
      </c>
      <c r="I175" s="1">
        <f t="shared" si="142"/>
        <v>1</v>
      </c>
      <c r="J175" s="1">
        <f t="shared" si="148"/>
        <v>1</v>
      </c>
      <c r="L175" s="1" t="str">
        <f>IF(ISERROR(HLOOKUP($C$10,$F$3:$J$253,173,0)),"",HLOOKUP($C$10,$F$3:$J$253,173,0))</f>
        <v/>
      </c>
      <c r="N175" s="67"/>
      <c r="W175" s="71" t="e">
        <f>IF(AA175="","",AA175*10+2)</f>
        <v>#VALUE!</v>
      </c>
      <c r="X175" s="71" t="str">
        <f>IF(OR(COUNTBLANK(AA175)=1,ISERROR(AA175)),"",COUNT(AA4:AA175))</f>
        <v/>
      </c>
      <c r="Y175" s="7" t="e">
        <f t="shared" si="113"/>
        <v>#VALUE!</v>
      </c>
      <c r="Z175" s="1" t="str">
        <f t="shared" si="127"/>
        <v/>
      </c>
      <c r="AA175" s="79" t="e">
        <f>IF(IF(COUNTIF(AA4:AA174,AA174)&gt;=MAX(D4:D8),AA174+1,AA174)&gt;50,"",IF(COUNTIF(AA4:AA174,AA174)&gt;=MAX(D4:D8),AA174+1,AA174))</f>
        <v>#VALUE!</v>
      </c>
      <c r="AB175" s="1" t="e">
        <f>IF(AA175="","",VLOOKUP(AA175,S4:U53,3,0))</f>
        <v>#VALUE!</v>
      </c>
      <c r="AC175" s="8" t="str">
        <f t="shared" si="114"/>
        <v/>
      </c>
      <c r="AE175" s="71" t="e">
        <f t="shared" si="115"/>
        <v>#VALUE!</v>
      </c>
      <c r="AF175" s="71" t="str">
        <f>IF(OR(COUNTBLANK(AI175)=1,ISERROR(AI175)),"",COUNT(AI4:AI175))</f>
        <v/>
      </c>
      <c r="AG175" s="7" t="e">
        <f t="shared" si="116"/>
        <v>#VALUE!</v>
      </c>
      <c r="AH175" s="1" t="str">
        <f>IF(ISERROR(INDEX(C4:C8,MATCH(G175,D4:D8,0))),"",INDEX(C4:C8,MATCH(G175,D4:D8,0)))</f>
        <v/>
      </c>
      <c r="AI175" s="79" t="e">
        <f>IF(IF(COUNTIF(AI4:AI173,AI173)&gt;=MAX(D4:D8),AI173+2,AI173)&gt;50,"",IF(COUNTIF(AI4:AI173,AI173)&gt;=MAX(D4:D8),AI173+2,AI173))</f>
        <v>#VALUE!</v>
      </c>
      <c r="AJ175" s="1" t="e">
        <f>IF(AI175="","",VLOOKUP(AI175,S4:U53,3,0))</f>
        <v>#VALUE!</v>
      </c>
      <c r="AK175" s="8" t="str">
        <f t="shared" si="117"/>
        <v/>
      </c>
      <c r="AM175" s="71" t="e">
        <f t="shared" si="118"/>
        <v>#VALUE!</v>
      </c>
      <c r="AN175" s="71" t="str">
        <f>IF(OR(COUNTBLANK(AQ175)=1,ISERROR(AQ175)),"",COUNT(AQ4:AQ175))</f>
        <v/>
      </c>
      <c r="AO175" s="7" t="e">
        <f t="shared" si="119"/>
        <v>#VALUE!</v>
      </c>
      <c r="AP175" s="1" t="str">
        <f>IF(ISERROR(INDEX(C4:C8,MATCH(H175,D4:D8,0))),"",INDEX(C4:C8,MATCH(H175,D4:D8,0)))</f>
        <v/>
      </c>
      <c r="AQ175" s="79" t="e">
        <f>IF(IF(COUNTIF(AQ4:AQ174,AQ172)&gt;=MAX(D4:D8),AQ172+3,AQ172)&gt;50,"",IF(COUNTIF(AQ4:AQ174,AQ172)&gt;=MAX(D4:D8),AQ172+3,AQ172))</f>
        <v>#VALUE!</v>
      </c>
      <c r="AR175" s="1" t="e">
        <f>IF(AQ175="","",VLOOKUP(AQ175,S4:U53,3,0))</f>
        <v>#VALUE!</v>
      </c>
      <c r="AS175" s="8" t="str">
        <f t="shared" si="120"/>
        <v/>
      </c>
      <c r="AU175" s="71" t="e">
        <f t="shared" si="121"/>
        <v>#VALUE!</v>
      </c>
      <c r="AV175" s="71" t="str">
        <f>IF(OR(COUNTBLANK(AY175)=1,ISERROR(AY175)),"",COUNT(AY4:AY175))</f>
        <v/>
      </c>
      <c r="AW175" s="7" t="e">
        <f t="shared" si="122"/>
        <v>#VALUE!</v>
      </c>
      <c r="AX175" s="1" t="str">
        <f>IF(ISERROR(INDEX(C4:C8,MATCH(I175,D4:D8,0))),"",INDEX(C4:C8,MATCH(I175,D4:D8,0)))</f>
        <v/>
      </c>
      <c r="AY175" s="79" t="e">
        <f>IF(IF(COUNTIF(AY4:AY174,AY171)&gt;=MAX(D4:D8),AY171+4,AY171)&gt;50,"",IF(COUNTIF(AY4:AY174,AY171)&gt;=MAX(D4:D8),AY171+4,AY171))</f>
        <v>#VALUE!</v>
      </c>
      <c r="AZ175" s="76" t="e">
        <f>IF(AY175="","",VLOOKUP(AY175,S4:U53,3,0))</f>
        <v>#VALUE!</v>
      </c>
      <c r="BA175" s="8" t="str">
        <f t="shared" si="123"/>
        <v/>
      </c>
      <c r="BC175" s="71" t="e">
        <f t="shared" si="124"/>
        <v>#VALUE!</v>
      </c>
      <c r="BD175" s="71" t="str">
        <f>IF(OR(COUNTBLANK(BG175)=1,ISERROR(BG175)),"",COUNT(BG4:BG175))</f>
        <v/>
      </c>
      <c r="BE175" s="7" t="e">
        <f t="shared" si="125"/>
        <v>#VALUE!</v>
      </c>
      <c r="BF175" s="1" t="str">
        <f>IF(ISERROR(INDEX(C4:C8,MATCH(J175,D4:D8,0))),"",INDEX(C4:C8,MATCH(J175,D4:D8,0)))</f>
        <v/>
      </c>
      <c r="BG175" s="79" t="e">
        <f>IF(IF(COUNTIF(BG4:BG174,BG170)&gt;=MAX(D4:D8),BG170+5,BG170)&gt;50,"",IF(COUNTIF(BG4:BG174,BG170)&gt;=MAX(D4:D8),BG170+5,BG170))</f>
        <v>#VALUE!</v>
      </c>
      <c r="BH175" s="76" t="e">
        <f>IF(BG175="","",VLOOKUP(BG175,S4:U53,3,0))</f>
        <v>#VALUE!</v>
      </c>
      <c r="BI175" s="8" t="str">
        <f t="shared" si="126"/>
        <v/>
      </c>
      <c r="BP175" s="71" t="e">
        <f>IF(BT175="","",BT175*10+2)</f>
        <v>#VALUE!</v>
      </c>
      <c r="BQ175" s="71" t="str">
        <f>IF(OR(COUNTBLANK(BT175)=1,ISERROR(BT175)),"",COUNT(BT4:BT175))</f>
        <v/>
      </c>
      <c r="BR175" s="7" t="e">
        <f t="shared" si="128"/>
        <v>#VALUE!</v>
      </c>
      <c r="BS175" s="1" t="str">
        <f t="shared" si="129"/>
        <v/>
      </c>
      <c r="BT175" s="79" t="e">
        <f>IF(IF(COUNTIF($BT$4:BT174,BT174)&gt;=MAX($D$4:$D$8),BT174+1,BT174)&gt;55,"",IF(COUNTIF($BT$4:BT174,BT174)&gt;=MAX($D$4:$D$8),BT174+1,BT174))</f>
        <v>#VALUE!</v>
      </c>
      <c r="BU175" s="1" t="e">
        <f t="shared" si="130"/>
        <v>#VALUE!</v>
      </c>
      <c r="BV175" s="8" t="str">
        <f t="shared" si="131"/>
        <v/>
      </c>
      <c r="BX175" s="71" t="e">
        <f t="shared" si="132"/>
        <v>#VALUE!</v>
      </c>
      <c r="BY175" s="71" t="str">
        <f>IF(OR(COUNTBLANK(CB175)=1,ISERROR(CB175)),"",COUNT($CB$4:CB175))</f>
        <v/>
      </c>
      <c r="BZ175" s="7" t="e">
        <f t="shared" si="133"/>
        <v>#VALUE!</v>
      </c>
      <c r="CA175" s="1" t="str">
        <f t="shared" si="134"/>
        <v/>
      </c>
      <c r="CB175" s="79" t="e">
        <f>IF(IF(COUNTIF($CB$4:CB174,CB173)&gt;=MAX($D$4:$D$8),CB173+2,CB173)&gt;55,"",IF(COUNTIF($CB$4:CB174,CB173)&gt;=MAX($D$4:$D$8),CB173+2,CB173))</f>
        <v>#VALUE!</v>
      </c>
      <c r="CC175" s="1" t="e">
        <f t="shared" si="135"/>
        <v>#VALUE!</v>
      </c>
      <c r="CD175" s="8" t="str">
        <f t="shared" si="136"/>
        <v/>
      </c>
      <c r="CF175" s="71" t="e">
        <f t="shared" si="149"/>
        <v>#VALUE!</v>
      </c>
      <c r="CG175" s="71" t="str">
        <f>IF(OR(COUNTBLANK(CJ175)=1,ISERROR(CJ175)),"",COUNT($CJ$4:CJ175))</f>
        <v/>
      </c>
      <c r="CH175" s="7" t="e">
        <f t="shared" si="150"/>
        <v>#VALUE!</v>
      </c>
      <c r="CI175" s="1" t="str">
        <f t="shared" si="151"/>
        <v/>
      </c>
      <c r="CJ175" s="79" t="e">
        <f>IF(IF(COUNTIF($CJ$4:CJ174,CJ172)&gt;=MAX($D$4:$D$8),CJ172+3,CJ172)&gt;55,"",IF(COUNTIF($CJ$4:CJ174,CJ172)&gt;=MAX($D$4:$D$8),CJ172+3,CJ172))</f>
        <v>#VALUE!</v>
      </c>
      <c r="CK175" s="1" t="e">
        <f t="shared" si="137"/>
        <v>#VALUE!</v>
      </c>
      <c r="CL175" s="8" t="str">
        <f t="shared" si="152"/>
        <v/>
      </c>
      <c r="CN175" s="71" t="e">
        <f t="shared" si="143"/>
        <v>#VALUE!</v>
      </c>
      <c r="CO175" s="71" t="str">
        <f>IF(OR(COUNTBLANK(CR175)=1,ISERROR(CR175)),"",COUNT($CR$4:CR175))</f>
        <v/>
      </c>
      <c r="CP175" s="7" t="e">
        <f t="shared" si="144"/>
        <v>#VALUE!</v>
      </c>
      <c r="CQ175" s="1" t="str">
        <f t="shared" si="145"/>
        <v/>
      </c>
      <c r="CR175" s="79" t="e">
        <f>IF(IF(COUNTIF($CR$4:CR174,CR171)&gt;=MAX($D$4:$D$8),CR171+4,CR171)&gt;55,"",IF(COUNTIF($CR$4:CR174,CR171)&gt;=MAX($D$4:$D$8),CR171+4,CR171))</f>
        <v>#VALUE!</v>
      </c>
      <c r="CS175" s="1" t="e">
        <f t="shared" si="138"/>
        <v>#VALUE!</v>
      </c>
      <c r="CT175" s="8" t="str">
        <f t="shared" si="146"/>
        <v/>
      </c>
      <c r="CV175" s="71" t="e">
        <f t="shared" si="153"/>
        <v>#VALUE!</v>
      </c>
      <c r="CW175" s="71" t="str">
        <f>IF(OR(COUNTBLANK(CZ175)=1,ISERROR(CZ175)),"",COUNT($CZ$4:CZ175))</f>
        <v/>
      </c>
      <c r="CX175" s="7" t="e">
        <f t="shared" si="154"/>
        <v>#VALUE!</v>
      </c>
      <c r="CY175" s="1" t="str">
        <f t="shared" si="155"/>
        <v/>
      </c>
      <c r="CZ175" s="79" t="e">
        <f>IF(IF(COUNTIF($CZ$4:CZ174,CZ170)&gt;=MAX($D$4:$D$8),CZ170+5,CZ170)&gt;55,"",IF(COUNTIF($CZ$4:CZ174,CZ170)&gt;=MAX($D$4:$D$8),CZ170+5,CZ170))</f>
        <v>#VALUE!</v>
      </c>
      <c r="DA175" s="1" t="e">
        <f t="shared" si="139"/>
        <v>#VALUE!</v>
      </c>
      <c r="DB175" s="8" t="str">
        <f t="shared" si="156"/>
        <v/>
      </c>
    </row>
    <row r="176" spans="5:106" x14ac:dyDescent="0.15">
      <c r="E176" s="1">
        <v>173</v>
      </c>
      <c r="F176" s="1">
        <f t="shared" si="140"/>
        <v>1</v>
      </c>
      <c r="G176" s="1">
        <f t="shared" si="147"/>
        <v>1</v>
      </c>
      <c r="H176" s="1">
        <f t="shared" si="141"/>
        <v>1</v>
      </c>
      <c r="I176" s="1">
        <f t="shared" si="142"/>
        <v>1</v>
      </c>
      <c r="J176" s="1">
        <f t="shared" si="148"/>
        <v>1</v>
      </c>
      <c r="L176" s="1" t="str">
        <f>IF(ISERROR(HLOOKUP($C$10,$F$3:$J$253,174,0)),"",HLOOKUP($C$10,$F$3:$J$253,174,0))</f>
        <v/>
      </c>
      <c r="N176" s="67"/>
      <c r="W176" s="71" t="e">
        <f>IF(AA176="","",AA176*10+3)</f>
        <v>#VALUE!</v>
      </c>
      <c r="X176" s="71" t="str">
        <f>IF(OR(COUNTBLANK(AA176)=1,ISERROR(AA176)),"",COUNT(AA4:AA176))</f>
        <v/>
      </c>
      <c r="Y176" s="7" t="e">
        <f t="shared" si="113"/>
        <v>#VALUE!</v>
      </c>
      <c r="Z176" s="1" t="str">
        <f t="shared" si="127"/>
        <v/>
      </c>
      <c r="AA176" s="79" t="e">
        <f>IF(IF(COUNTIF(AA4:AA175,AA175)&gt;=MAX(D4:D8),AA175+1,AA175)&gt;50,"",IF(COUNTIF(AA4:AA175,AA175)&gt;=MAX(D4:D8),AA175+1,AA175))</f>
        <v>#VALUE!</v>
      </c>
      <c r="AB176" s="1" t="e">
        <f>IF(AA176="","",VLOOKUP(AA176,S4:U53,3,0))</f>
        <v>#VALUE!</v>
      </c>
      <c r="AC176" s="8" t="str">
        <f t="shared" si="114"/>
        <v/>
      </c>
      <c r="AE176" s="71" t="e">
        <f t="shared" si="115"/>
        <v>#VALUE!</v>
      </c>
      <c r="AF176" s="71" t="str">
        <f>IF(OR(COUNTBLANK(AI176)=1,ISERROR(AI176)),"",COUNT(AI4:AI176))</f>
        <v/>
      </c>
      <c r="AG176" s="7" t="e">
        <f t="shared" si="116"/>
        <v>#VALUE!</v>
      </c>
      <c r="AH176" s="1" t="str">
        <f>IF(ISERROR(INDEX(C4:C8,MATCH(G176,D4:D8,0))),"",INDEX(C4:C8,MATCH(G176,D4:D8,0)))</f>
        <v/>
      </c>
      <c r="AI176" s="79" t="e">
        <f>IF(IF(COUNTIF(AI4:AI175,AI174)&gt;=MAX(D4:D8),AI174+2,AI174)&gt;50,"",IF(COUNTIF(AI4:AI175,AI174)&gt;=MAX(D4:D8),AI174+2,AI174))</f>
        <v>#VALUE!</v>
      </c>
      <c r="AJ176" s="1" t="e">
        <f>IF(AI176="","",VLOOKUP(AI176,S4:U53,3,0))</f>
        <v>#VALUE!</v>
      </c>
      <c r="AK176" s="8" t="str">
        <f t="shared" si="117"/>
        <v/>
      </c>
      <c r="AM176" s="71" t="e">
        <f t="shared" si="118"/>
        <v>#VALUE!</v>
      </c>
      <c r="AN176" s="71" t="str">
        <f>IF(OR(COUNTBLANK(AQ176)=1,ISERROR(AQ176)),"",COUNT(AQ4:AQ176))</f>
        <v/>
      </c>
      <c r="AO176" s="7" t="e">
        <f t="shared" si="119"/>
        <v>#VALUE!</v>
      </c>
      <c r="AP176" s="1" t="str">
        <f>IF(ISERROR(INDEX(C4:C8,MATCH(H176,D4:D8,0))),"",INDEX(C4:C8,MATCH(H176,D4:D8,0)))</f>
        <v/>
      </c>
      <c r="AQ176" s="79" t="e">
        <f>IF(IF(COUNTIF(AQ4:AQ175,AQ173)&gt;=MAX(D4:D8),AQ173+3,AQ173)&gt;50,"",IF(COUNTIF(AQ4:AQ175,AQ173)&gt;=MAX(D4:D8),AQ173+3,AQ173))</f>
        <v>#VALUE!</v>
      </c>
      <c r="AR176" s="1" t="e">
        <f>IF(AQ176="","",VLOOKUP(AQ176,S4:U53,3,0))</f>
        <v>#VALUE!</v>
      </c>
      <c r="AS176" s="8" t="str">
        <f t="shared" si="120"/>
        <v/>
      </c>
      <c r="AU176" s="71" t="e">
        <f t="shared" si="121"/>
        <v>#VALUE!</v>
      </c>
      <c r="AV176" s="71" t="str">
        <f>IF(OR(COUNTBLANK(AY176)=1,ISERROR(AY176)),"",COUNT(AY4:AY176))</f>
        <v/>
      </c>
      <c r="AW176" s="7" t="e">
        <f t="shared" si="122"/>
        <v>#VALUE!</v>
      </c>
      <c r="AX176" s="1" t="str">
        <f>IF(ISERROR(INDEX(C4:C8,MATCH(I176,D4:D8,0))),"",INDEX(C4:C8,MATCH(I176,D4:D8,0)))</f>
        <v/>
      </c>
      <c r="AY176" s="79" t="e">
        <f>IF(IF(COUNTIF(AY4:AY175,AY172)&gt;=MAX(D4:D8),AY172+4,AY172)&gt;50,"",IF(COUNTIF(AY4:AY175,AY172)&gt;=MAX(D4:D8),AY172+4,AY172))</f>
        <v>#VALUE!</v>
      </c>
      <c r="AZ176" s="76" t="e">
        <f>IF(AY176="","",VLOOKUP(AY176,S4:U53,3,0))</f>
        <v>#VALUE!</v>
      </c>
      <c r="BA176" s="8" t="str">
        <f t="shared" si="123"/>
        <v/>
      </c>
      <c r="BC176" s="71" t="e">
        <f t="shared" si="124"/>
        <v>#VALUE!</v>
      </c>
      <c r="BD176" s="71" t="str">
        <f>IF(OR(COUNTBLANK(BG176)=1,ISERROR(BG176)),"",COUNT(BG4:BG176))</f>
        <v/>
      </c>
      <c r="BE176" s="7" t="e">
        <f t="shared" si="125"/>
        <v>#VALUE!</v>
      </c>
      <c r="BF176" s="1" t="str">
        <f>IF(ISERROR(INDEX(C4:C8,MATCH(J176,D4:D8,0))),"",INDEX(C4:C8,MATCH(J176,D4:D8,0)))</f>
        <v/>
      </c>
      <c r="BG176" s="79" t="e">
        <f>IF(IF(COUNTIF(BG4:BG175,BG171)&gt;=MAX(D4:D8),BG171+5,BG171)&gt;50,"",IF(COUNTIF(BG4:BG175,BG171)&gt;=MAX(D4:D8),BG171+5,BG171))</f>
        <v>#VALUE!</v>
      </c>
      <c r="BH176" s="76" t="e">
        <f>IF(BG176="","",VLOOKUP(BG176,S4:U53,3,0))</f>
        <v>#VALUE!</v>
      </c>
      <c r="BI176" s="8" t="str">
        <f t="shared" si="126"/>
        <v/>
      </c>
      <c r="BP176" s="71" t="e">
        <f>IF(BT176="","",BT176*10+3)</f>
        <v>#VALUE!</v>
      </c>
      <c r="BQ176" s="71" t="str">
        <f>IF(OR(COUNTBLANK(BT176)=1,ISERROR(BT176)),"",COUNT(BT4:BT176))</f>
        <v/>
      </c>
      <c r="BR176" s="7" t="e">
        <f t="shared" si="128"/>
        <v>#VALUE!</v>
      </c>
      <c r="BS176" s="1" t="str">
        <f t="shared" si="129"/>
        <v/>
      </c>
      <c r="BT176" s="79" t="e">
        <f>IF(IF(COUNTIF($BT$4:BT175,BT175)&gt;=MAX($D$4:$D$8),BT175+1,BT175)&gt;55,"",IF(COUNTIF($BT$4:BT175,BT175)&gt;=MAX($D$4:$D$8),BT175+1,BT175))</f>
        <v>#VALUE!</v>
      </c>
      <c r="BU176" s="1" t="e">
        <f t="shared" si="130"/>
        <v>#VALUE!</v>
      </c>
      <c r="BV176" s="8" t="str">
        <f t="shared" si="131"/>
        <v/>
      </c>
      <c r="BX176" s="71" t="e">
        <f t="shared" si="132"/>
        <v>#VALUE!</v>
      </c>
      <c r="BY176" s="71" t="str">
        <f>IF(OR(COUNTBLANK(CB176)=1,ISERROR(CB176)),"",COUNT($CB$4:CB176))</f>
        <v/>
      </c>
      <c r="BZ176" s="7" t="e">
        <f t="shared" si="133"/>
        <v>#VALUE!</v>
      </c>
      <c r="CA176" s="1" t="str">
        <f t="shared" si="134"/>
        <v/>
      </c>
      <c r="CB176" s="79" t="e">
        <f>IF(IF(COUNTIF($CB$4:CB175,CB174)&gt;=MAX($D$4:$D$8),CB174+2,CB174)&gt;55,"",IF(COUNTIF($CB$4:CB175,CB174)&gt;=MAX($D$4:$D$8),CB174+2,CB174))</f>
        <v>#VALUE!</v>
      </c>
      <c r="CC176" s="1" t="e">
        <f t="shared" si="135"/>
        <v>#VALUE!</v>
      </c>
      <c r="CD176" s="8" t="str">
        <f t="shared" si="136"/>
        <v/>
      </c>
      <c r="CF176" s="71" t="e">
        <f t="shared" si="149"/>
        <v>#VALUE!</v>
      </c>
      <c r="CG176" s="71" t="str">
        <f>IF(OR(COUNTBLANK(CJ176)=1,ISERROR(CJ176)),"",COUNT($CJ$4:CJ176))</f>
        <v/>
      </c>
      <c r="CH176" s="7" t="e">
        <f t="shared" si="150"/>
        <v>#VALUE!</v>
      </c>
      <c r="CI176" s="1" t="str">
        <f t="shared" si="151"/>
        <v/>
      </c>
      <c r="CJ176" s="79" t="e">
        <f>IF(IF(COUNTIF($CJ$4:CJ175,CJ173)&gt;=MAX($D$4:$D$8),CJ173+3,CJ173)&gt;55,"",IF(COUNTIF($CJ$4:CJ175,CJ173)&gt;=MAX($D$4:$D$8),CJ173+3,CJ173))</f>
        <v>#VALUE!</v>
      </c>
      <c r="CK176" s="1" t="e">
        <f t="shared" si="137"/>
        <v>#VALUE!</v>
      </c>
      <c r="CL176" s="8" t="str">
        <f t="shared" si="152"/>
        <v/>
      </c>
      <c r="CN176" s="71" t="e">
        <f t="shared" si="143"/>
        <v>#VALUE!</v>
      </c>
      <c r="CO176" s="71" t="str">
        <f>IF(OR(COUNTBLANK(CR176)=1,ISERROR(CR176)),"",COUNT($CR$4:CR176))</f>
        <v/>
      </c>
      <c r="CP176" s="7" t="e">
        <f t="shared" si="144"/>
        <v>#VALUE!</v>
      </c>
      <c r="CQ176" s="1" t="str">
        <f t="shared" si="145"/>
        <v/>
      </c>
      <c r="CR176" s="79" t="e">
        <f>IF(IF(COUNTIF($CR$4:CR175,CR172)&gt;=MAX($D$4:$D$8),CR172+4,CR172)&gt;55,"",IF(COUNTIF($CR$4:CR175,CR172)&gt;=MAX($D$4:$D$8),CR172+4,CR172))</f>
        <v>#VALUE!</v>
      </c>
      <c r="CS176" s="1" t="e">
        <f t="shared" si="138"/>
        <v>#VALUE!</v>
      </c>
      <c r="CT176" s="8" t="str">
        <f t="shared" si="146"/>
        <v/>
      </c>
      <c r="CV176" s="71" t="e">
        <f t="shared" si="153"/>
        <v>#VALUE!</v>
      </c>
      <c r="CW176" s="71" t="str">
        <f>IF(OR(COUNTBLANK(CZ176)=1,ISERROR(CZ176)),"",COUNT($CZ$4:CZ176))</f>
        <v/>
      </c>
      <c r="CX176" s="7" t="e">
        <f t="shared" si="154"/>
        <v>#VALUE!</v>
      </c>
      <c r="CY176" s="1" t="str">
        <f t="shared" si="155"/>
        <v/>
      </c>
      <c r="CZ176" s="79" t="e">
        <f>IF(IF(COUNTIF($CZ$4:CZ175,CZ171)&gt;=MAX($D$4:$D$8),CZ171+5,CZ171)&gt;55,"",IF(COUNTIF($CZ$4:CZ175,CZ171)&gt;=MAX($D$4:$D$8),CZ171+5,CZ171))</f>
        <v>#VALUE!</v>
      </c>
      <c r="DA176" s="1" t="e">
        <f t="shared" si="139"/>
        <v>#VALUE!</v>
      </c>
      <c r="DB176" s="8" t="str">
        <f t="shared" si="156"/>
        <v/>
      </c>
    </row>
    <row r="177" spans="5:106" x14ac:dyDescent="0.15">
      <c r="E177" s="1">
        <v>174</v>
      </c>
      <c r="F177" s="1">
        <f t="shared" si="140"/>
        <v>1</v>
      </c>
      <c r="G177" s="1">
        <f t="shared" si="147"/>
        <v>1</v>
      </c>
      <c r="H177" s="1">
        <f t="shared" si="141"/>
        <v>1</v>
      </c>
      <c r="I177" s="1">
        <f t="shared" si="142"/>
        <v>1</v>
      </c>
      <c r="J177" s="1">
        <f t="shared" si="148"/>
        <v>1</v>
      </c>
      <c r="L177" s="1" t="str">
        <f>IF(ISERROR(HLOOKUP($C$10,$F$3:$J$253,175,0)),"",HLOOKUP($C$10,$F$3:$J$253,175,0))</f>
        <v/>
      </c>
      <c r="N177" s="67"/>
      <c r="W177" s="71" t="e">
        <f>IF(AA177="","",AA177*10+4)</f>
        <v>#VALUE!</v>
      </c>
      <c r="X177" s="71" t="str">
        <f>IF(OR(COUNTBLANK(AA177)=1,ISERROR(AA177)),"",COUNT(AA4:AA177))</f>
        <v/>
      </c>
      <c r="Y177" s="7" t="e">
        <f t="shared" si="113"/>
        <v>#VALUE!</v>
      </c>
      <c r="Z177" s="1" t="str">
        <f t="shared" si="127"/>
        <v/>
      </c>
      <c r="AA177" s="79" t="e">
        <f>IF(IF(COUNTIF(AA4:AA176,AA176)&gt;=MAX(D4:D8),AA176+1,AA176)&gt;50,"",IF(COUNTIF(AA4:AA176,AA176)&gt;=MAX(D4:D8),AA176+1,AA176))</f>
        <v>#VALUE!</v>
      </c>
      <c r="AB177" s="1" t="e">
        <f>IF(AA177="","",VLOOKUP(AA177,S4:U53,3,0))</f>
        <v>#VALUE!</v>
      </c>
      <c r="AC177" s="8" t="str">
        <f t="shared" si="114"/>
        <v/>
      </c>
      <c r="AE177" s="71" t="e">
        <f t="shared" si="115"/>
        <v>#VALUE!</v>
      </c>
      <c r="AF177" s="71" t="str">
        <f>IF(OR(COUNTBLANK(AI177)=1,ISERROR(AI177)),"",COUNT(AI4:AI177))</f>
        <v/>
      </c>
      <c r="AG177" s="7" t="e">
        <f t="shared" si="116"/>
        <v>#VALUE!</v>
      </c>
      <c r="AH177" s="1" t="str">
        <f>IF(ISERROR(INDEX(C4:C8,MATCH(G177,D4:D8,0))),"",INDEX(C4:C8,MATCH(G177,D4:D8,0)))</f>
        <v/>
      </c>
      <c r="AI177" s="79" t="e">
        <f>IF(IF(COUNTIF(AI4:AI175,AI175)&gt;=MAX(D4:D8),AI175+2,AI175)&gt;50,"",IF(COUNTIF(AI4:AI175,AI175)&gt;=MAX(D4:D8),AI175+2,AI175))</f>
        <v>#VALUE!</v>
      </c>
      <c r="AJ177" s="1" t="e">
        <f>IF(AI177="","",VLOOKUP(AI177,S4:U53,3,0))</f>
        <v>#VALUE!</v>
      </c>
      <c r="AK177" s="8" t="str">
        <f t="shared" si="117"/>
        <v/>
      </c>
      <c r="AM177" s="71" t="e">
        <f t="shared" si="118"/>
        <v>#VALUE!</v>
      </c>
      <c r="AN177" s="71" t="str">
        <f>IF(OR(COUNTBLANK(AQ177)=1,ISERROR(AQ177)),"",COUNT(AQ4:AQ177))</f>
        <v/>
      </c>
      <c r="AO177" s="7" t="e">
        <f t="shared" si="119"/>
        <v>#VALUE!</v>
      </c>
      <c r="AP177" s="1" t="str">
        <f>IF(ISERROR(INDEX(C4:C8,MATCH(H177,D4:D8,0))),"",INDEX(C4:C8,MATCH(H177,D4:D8,0)))</f>
        <v/>
      </c>
      <c r="AQ177" s="79" t="e">
        <f>IF(IF(COUNTIF(AQ4:AQ176,AQ174)&gt;=MAX(D4:D8),AQ174+3,AQ174)&gt;50,"",IF(COUNTIF(AQ4:AQ176,AQ174)&gt;=MAX(D4:D8),AQ174+3,AQ174))</f>
        <v>#VALUE!</v>
      </c>
      <c r="AR177" s="1" t="e">
        <f>IF(AQ177="","",VLOOKUP(AQ177,S4:U53,3,0))</f>
        <v>#VALUE!</v>
      </c>
      <c r="AS177" s="8" t="str">
        <f t="shared" si="120"/>
        <v/>
      </c>
      <c r="AU177" s="71" t="e">
        <f t="shared" si="121"/>
        <v>#VALUE!</v>
      </c>
      <c r="AV177" s="71" t="str">
        <f>IF(OR(COUNTBLANK(AY177)=1,ISERROR(AY177)),"",COUNT(AY4:AY177))</f>
        <v/>
      </c>
      <c r="AW177" s="7" t="e">
        <f t="shared" si="122"/>
        <v>#VALUE!</v>
      </c>
      <c r="AX177" s="1" t="str">
        <f>IF(ISERROR(INDEX(C4:C8,MATCH(I177,D4:D8,0))),"",INDEX(C4:C8,MATCH(I177,D4:D8,0)))</f>
        <v/>
      </c>
      <c r="AY177" s="79" t="e">
        <f>IF(IF(COUNTIF(AY4:AY176,AY173)&gt;=MAX(D4:D8),AY173+4,AY173)&gt;50,"",IF(COUNTIF(AY4:AY176,AY173)&gt;=MAX(D4:D8),AY173+4,AY173))</f>
        <v>#VALUE!</v>
      </c>
      <c r="AZ177" s="76" t="e">
        <f>IF(AY177="","",VLOOKUP(AY177,S4:U53,3,0))</f>
        <v>#VALUE!</v>
      </c>
      <c r="BA177" s="8" t="str">
        <f t="shared" si="123"/>
        <v/>
      </c>
      <c r="BC177" s="71" t="e">
        <f t="shared" si="124"/>
        <v>#VALUE!</v>
      </c>
      <c r="BD177" s="71" t="str">
        <f>IF(OR(COUNTBLANK(BG177)=1,ISERROR(BG177)),"",COUNT(BG4:BG177))</f>
        <v/>
      </c>
      <c r="BE177" s="7" t="e">
        <f t="shared" si="125"/>
        <v>#VALUE!</v>
      </c>
      <c r="BF177" s="1" t="str">
        <f>IF(ISERROR(INDEX(C4:C8,MATCH(J177,D4:D8,0))),"",INDEX(C4:C8,MATCH(J177,D4:D8,0)))</f>
        <v/>
      </c>
      <c r="BG177" s="79" t="e">
        <f>IF(IF(COUNTIF(BG4:BG176,BG172)&gt;=MAX(D4:D8),BG172+5,BG172)&gt;50,"",IF(COUNTIF(BG4:BG176,BG172)&gt;=MAX(D4:D8),BG172+5,BG172))</f>
        <v>#VALUE!</v>
      </c>
      <c r="BH177" s="76" t="e">
        <f>IF(BG177="","",VLOOKUP(BG177,S4:U53,3,0))</f>
        <v>#VALUE!</v>
      </c>
      <c r="BI177" s="8" t="str">
        <f t="shared" si="126"/>
        <v/>
      </c>
      <c r="BP177" s="71" t="e">
        <f>IF(BT177="","",BT177*10+4)</f>
        <v>#VALUE!</v>
      </c>
      <c r="BQ177" s="71" t="str">
        <f>IF(OR(COUNTBLANK(BT177)=1,ISERROR(BT177)),"",COUNT(BT4:BT177))</f>
        <v/>
      </c>
      <c r="BR177" s="7" t="e">
        <f t="shared" si="128"/>
        <v>#VALUE!</v>
      </c>
      <c r="BS177" s="1" t="str">
        <f t="shared" si="129"/>
        <v/>
      </c>
      <c r="BT177" s="79" t="e">
        <f>IF(IF(COUNTIF($BT$4:BT176,BT176)&gt;=MAX($D$4:$D$8),BT176+1,BT176)&gt;55,"",IF(COUNTIF($BT$4:BT176,BT176)&gt;=MAX($D$4:$D$8),BT176+1,BT176))</f>
        <v>#VALUE!</v>
      </c>
      <c r="BU177" s="1" t="e">
        <f t="shared" si="130"/>
        <v>#VALUE!</v>
      </c>
      <c r="BV177" s="8" t="str">
        <f t="shared" si="131"/>
        <v/>
      </c>
      <c r="BX177" s="71" t="e">
        <f t="shared" si="132"/>
        <v>#VALUE!</v>
      </c>
      <c r="BY177" s="71" t="str">
        <f>IF(OR(COUNTBLANK(CB177)=1,ISERROR(CB177)),"",COUNT($CB$4:CB177))</f>
        <v/>
      </c>
      <c r="BZ177" s="7" t="e">
        <f t="shared" si="133"/>
        <v>#VALUE!</v>
      </c>
      <c r="CA177" s="1" t="str">
        <f t="shared" si="134"/>
        <v/>
      </c>
      <c r="CB177" s="79" t="e">
        <f>IF(IF(COUNTIF($CB$4:CB176,CB175)&gt;=MAX($D$4:$D$8),CB175+2,CB175)&gt;55,"",IF(COUNTIF($CB$4:CB176,CB175)&gt;=MAX($D$4:$D$8),CB175+2,CB175))</f>
        <v>#VALUE!</v>
      </c>
      <c r="CC177" s="1" t="e">
        <f t="shared" si="135"/>
        <v>#VALUE!</v>
      </c>
      <c r="CD177" s="8" t="str">
        <f t="shared" si="136"/>
        <v/>
      </c>
      <c r="CF177" s="71" t="e">
        <f t="shared" si="149"/>
        <v>#VALUE!</v>
      </c>
      <c r="CG177" s="71" t="str">
        <f>IF(OR(COUNTBLANK(CJ177)=1,ISERROR(CJ177)),"",COUNT($CJ$4:CJ177))</f>
        <v/>
      </c>
      <c r="CH177" s="7" t="e">
        <f t="shared" si="150"/>
        <v>#VALUE!</v>
      </c>
      <c r="CI177" s="1" t="str">
        <f t="shared" si="151"/>
        <v/>
      </c>
      <c r="CJ177" s="79" t="e">
        <f>IF(IF(COUNTIF($CJ$4:CJ176,CJ174)&gt;=MAX($D$4:$D$8),CJ174+3,CJ174)&gt;55,"",IF(COUNTIF($CJ$4:CJ176,CJ174)&gt;=MAX($D$4:$D$8),CJ174+3,CJ174))</f>
        <v>#VALUE!</v>
      </c>
      <c r="CK177" s="1" t="e">
        <f t="shared" si="137"/>
        <v>#VALUE!</v>
      </c>
      <c r="CL177" s="8" t="str">
        <f t="shared" si="152"/>
        <v/>
      </c>
      <c r="CN177" s="71" t="e">
        <f t="shared" si="143"/>
        <v>#VALUE!</v>
      </c>
      <c r="CO177" s="71" t="str">
        <f>IF(OR(COUNTBLANK(CR177)=1,ISERROR(CR177)),"",COUNT($CR$4:CR177))</f>
        <v/>
      </c>
      <c r="CP177" s="7" t="e">
        <f t="shared" si="144"/>
        <v>#VALUE!</v>
      </c>
      <c r="CQ177" s="1" t="str">
        <f t="shared" si="145"/>
        <v/>
      </c>
      <c r="CR177" s="79" t="e">
        <f>IF(IF(COUNTIF($CR$4:CR176,CR173)&gt;=MAX($D$4:$D$8),CR173+4,CR173)&gt;55,"",IF(COUNTIF($CR$4:CR176,CR173)&gt;=MAX($D$4:$D$8),CR173+4,CR173))</f>
        <v>#VALUE!</v>
      </c>
      <c r="CS177" s="1" t="e">
        <f t="shared" si="138"/>
        <v>#VALUE!</v>
      </c>
      <c r="CT177" s="8" t="str">
        <f t="shared" si="146"/>
        <v/>
      </c>
      <c r="CV177" s="71" t="e">
        <f t="shared" si="153"/>
        <v>#VALUE!</v>
      </c>
      <c r="CW177" s="71" t="str">
        <f>IF(OR(COUNTBLANK(CZ177)=1,ISERROR(CZ177)),"",COUNT($CZ$4:CZ177))</f>
        <v/>
      </c>
      <c r="CX177" s="7" t="e">
        <f t="shared" si="154"/>
        <v>#VALUE!</v>
      </c>
      <c r="CY177" s="1" t="str">
        <f t="shared" si="155"/>
        <v/>
      </c>
      <c r="CZ177" s="79" t="e">
        <f>IF(IF(COUNTIF($CZ$4:CZ176,CZ172)&gt;=MAX($D$4:$D$8),CZ172+5,CZ172)&gt;55,"",IF(COUNTIF($CZ$4:CZ176,CZ172)&gt;=MAX($D$4:$D$8),CZ172+5,CZ172))</f>
        <v>#VALUE!</v>
      </c>
      <c r="DA177" s="1" t="e">
        <f t="shared" si="139"/>
        <v>#VALUE!</v>
      </c>
      <c r="DB177" s="8" t="str">
        <f t="shared" si="156"/>
        <v/>
      </c>
    </row>
    <row r="178" spans="5:106" x14ac:dyDescent="0.15">
      <c r="E178" s="1">
        <v>175</v>
      </c>
      <c r="F178" s="1">
        <f t="shared" si="140"/>
        <v>1</v>
      </c>
      <c r="G178" s="1">
        <f t="shared" si="147"/>
        <v>1</v>
      </c>
      <c r="H178" s="1">
        <f t="shared" si="141"/>
        <v>1</v>
      </c>
      <c r="I178" s="1">
        <f t="shared" si="142"/>
        <v>1</v>
      </c>
      <c r="J178" s="1">
        <f t="shared" si="148"/>
        <v>1</v>
      </c>
      <c r="L178" s="1" t="str">
        <f>IF(ISERROR(HLOOKUP($C$10,$F$3:$J$253,176,0)),"",HLOOKUP($C$10,$F$3:$J$253,176,0))</f>
        <v/>
      </c>
      <c r="N178" s="67"/>
      <c r="W178" s="71" t="e">
        <f>IF(AA178="","",AA178*10+5)</f>
        <v>#VALUE!</v>
      </c>
      <c r="X178" s="71" t="str">
        <f>IF(OR(COUNTBLANK(AA178)=1,ISERROR(AA178)),"",COUNT(AA4:AA178))</f>
        <v/>
      </c>
      <c r="Y178" s="7" t="e">
        <f t="shared" si="113"/>
        <v>#VALUE!</v>
      </c>
      <c r="Z178" s="1" t="str">
        <f t="shared" si="127"/>
        <v/>
      </c>
      <c r="AA178" s="79" t="e">
        <f>IF(IF(COUNTIF(AA4:AA177,AA177)&gt;=MAX(D4:D8),AA177+1,AA177)&gt;50,"",IF(COUNTIF(AA4:AA177,AA177)&gt;=MAX(D4:D8),AA177+1,AA177))</f>
        <v>#VALUE!</v>
      </c>
      <c r="AB178" s="1" t="e">
        <f>IF(AA178="","",VLOOKUP(AA178,S4:U53,3,0))</f>
        <v>#VALUE!</v>
      </c>
      <c r="AC178" s="8" t="str">
        <f t="shared" si="114"/>
        <v/>
      </c>
      <c r="AE178" s="71" t="e">
        <f t="shared" si="115"/>
        <v>#VALUE!</v>
      </c>
      <c r="AF178" s="71" t="str">
        <f>IF(OR(COUNTBLANK(AI178)=1,ISERROR(AI178)),"",COUNT(AI4:AI178))</f>
        <v/>
      </c>
      <c r="AG178" s="7" t="e">
        <f t="shared" si="116"/>
        <v>#VALUE!</v>
      </c>
      <c r="AH178" s="1" t="str">
        <f>IF(ISERROR(INDEX(C4:C8,MATCH(G178,D4:D8,0))),"",INDEX(C4:C8,MATCH(G178,D4:D8,0)))</f>
        <v/>
      </c>
      <c r="AI178" s="79" t="e">
        <f>IF(IF(COUNTIF(AI4:AI177,AI176)&gt;=MAX(D4:D8),AI176+2,AI176)&gt;50,"",IF(COUNTIF(AI4:AI177,AI176)&gt;=MAX(D4:D8),AI176+2,AI176))</f>
        <v>#VALUE!</v>
      </c>
      <c r="AJ178" s="1" t="e">
        <f>IF(AI178="","",VLOOKUP(AI178,S4:U53,3,0))</f>
        <v>#VALUE!</v>
      </c>
      <c r="AK178" s="8" t="str">
        <f t="shared" si="117"/>
        <v/>
      </c>
      <c r="AM178" s="71" t="e">
        <f t="shared" si="118"/>
        <v>#VALUE!</v>
      </c>
      <c r="AN178" s="71" t="str">
        <f>IF(OR(COUNTBLANK(AQ178)=1,ISERROR(AQ178)),"",COUNT(AQ4:AQ178))</f>
        <v/>
      </c>
      <c r="AO178" s="7" t="e">
        <f t="shared" si="119"/>
        <v>#VALUE!</v>
      </c>
      <c r="AP178" s="1" t="str">
        <f>IF(ISERROR(INDEX(C4:C8,MATCH(H178,D4:D8,0))),"",INDEX(C4:C8,MATCH(H178,D4:D8,0)))</f>
        <v/>
      </c>
      <c r="AQ178" s="79" t="e">
        <f>IF(IF(COUNTIF(AQ4:AQ177,AQ175)&gt;=MAX(D4:D8),AQ175+3,AQ175)&gt;50,"",IF(COUNTIF(AQ4:AQ177,AQ175)&gt;=MAX(D4:D8),AQ175+3,AQ175))</f>
        <v>#VALUE!</v>
      </c>
      <c r="AR178" s="1" t="e">
        <f>IF(AQ178="","",VLOOKUP(AQ178,S4:U53,3,0))</f>
        <v>#VALUE!</v>
      </c>
      <c r="AS178" s="8" t="str">
        <f t="shared" si="120"/>
        <v/>
      </c>
      <c r="AU178" s="71" t="e">
        <f t="shared" si="121"/>
        <v>#VALUE!</v>
      </c>
      <c r="AV178" s="71" t="str">
        <f>IF(OR(COUNTBLANK(AY178)=1,ISERROR(AY178)),"",COUNT(AY4:AY178))</f>
        <v/>
      </c>
      <c r="AW178" s="7" t="e">
        <f t="shared" si="122"/>
        <v>#VALUE!</v>
      </c>
      <c r="AX178" s="1" t="str">
        <f>IF(ISERROR(INDEX(C4:C8,MATCH(I178,D4:D8,0))),"",INDEX(C4:C8,MATCH(I178,D4:D8,0)))</f>
        <v/>
      </c>
      <c r="AY178" s="79" t="e">
        <f>IF(IF(COUNTIF(AY4:AY177,AY174)&gt;=MAX(D4:D8),AY174+4,AY174)&gt;50,"",IF(COUNTIF(AY4:AY177,AY174)&gt;=MAX(D4:D8),AY174+4,AY174))</f>
        <v>#VALUE!</v>
      </c>
      <c r="AZ178" s="76" t="e">
        <f>IF(AY178="","",VLOOKUP(AY178,S4:U53,3,0))</f>
        <v>#VALUE!</v>
      </c>
      <c r="BA178" s="8" t="str">
        <f t="shared" si="123"/>
        <v/>
      </c>
      <c r="BC178" s="71" t="e">
        <f t="shared" si="124"/>
        <v>#VALUE!</v>
      </c>
      <c r="BD178" s="71" t="str">
        <f>IF(OR(COUNTBLANK(BG178)=1,ISERROR(BG178)),"",COUNT(BG4:BG178))</f>
        <v/>
      </c>
      <c r="BE178" s="7" t="e">
        <f t="shared" si="125"/>
        <v>#VALUE!</v>
      </c>
      <c r="BF178" s="1" t="str">
        <f>IF(ISERROR(INDEX(C4:C8,MATCH(J178,D4:D8,0))),"",INDEX(C4:C8,MATCH(J178,D4:D8,0)))</f>
        <v/>
      </c>
      <c r="BG178" s="79" t="e">
        <f>IF(IF(COUNTIF(BG4:BG177,BG173)&gt;=MAX(D4:D8),BG173+5,BG173)&gt;50,"",IF(COUNTIF(BG4:BG177,BG173)&gt;=MAX(D4:D8),BG173+5,BG173))</f>
        <v>#VALUE!</v>
      </c>
      <c r="BH178" s="76" t="e">
        <f>IF(BG178="","",VLOOKUP(BG178,S4:U53,3,0))</f>
        <v>#VALUE!</v>
      </c>
      <c r="BI178" s="8" t="str">
        <f t="shared" si="126"/>
        <v/>
      </c>
      <c r="BP178" s="71" t="e">
        <f>IF(BT178="","",BT178*10+5)</f>
        <v>#VALUE!</v>
      </c>
      <c r="BQ178" s="71" t="str">
        <f>IF(OR(COUNTBLANK(BT178)=1,ISERROR(BT178)),"",COUNT(BT4:BT178))</f>
        <v/>
      </c>
      <c r="BR178" s="7" t="e">
        <f t="shared" si="128"/>
        <v>#VALUE!</v>
      </c>
      <c r="BS178" s="1" t="str">
        <f t="shared" si="129"/>
        <v/>
      </c>
      <c r="BT178" s="79" t="e">
        <f>IF(IF(COUNTIF($BT$4:BT177,BT177)&gt;=MAX($D$4:$D$8),BT177+1,BT177)&gt;55,"",IF(COUNTIF($BT$4:BT177,BT177)&gt;=MAX($D$4:$D$8),BT177+1,BT177))</f>
        <v>#VALUE!</v>
      </c>
      <c r="BU178" s="1" t="e">
        <f t="shared" si="130"/>
        <v>#VALUE!</v>
      </c>
      <c r="BV178" s="8" t="str">
        <f t="shared" si="131"/>
        <v/>
      </c>
      <c r="BX178" s="71" t="e">
        <f t="shared" si="132"/>
        <v>#VALUE!</v>
      </c>
      <c r="BY178" s="71" t="str">
        <f>IF(OR(COUNTBLANK(CB178)=1,ISERROR(CB178)),"",COUNT($CB$4:CB178))</f>
        <v/>
      </c>
      <c r="BZ178" s="7" t="e">
        <f t="shared" si="133"/>
        <v>#VALUE!</v>
      </c>
      <c r="CA178" s="1" t="str">
        <f t="shared" si="134"/>
        <v/>
      </c>
      <c r="CB178" s="79" t="e">
        <f>IF(IF(COUNTIF($CB$4:CB177,CB176)&gt;=MAX($D$4:$D$8),CB176+2,CB176)&gt;55,"",IF(COUNTIF($CB$4:CB177,CB176)&gt;=MAX($D$4:$D$8),CB176+2,CB176))</f>
        <v>#VALUE!</v>
      </c>
      <c r="CC178" s="1" t="e">
        <f t="shared" si="135"/>
        <v>#VALUE!</v>
      </c>
      <c r="CD178" s="8" t="str">
        <f t="shared" si="136"/>
        <v/>
      </c>
      <c r="CF178" s="71" t="e">
        <f t="shared" si="149"/>
        <v>#VALUE!</v>
      </c>
      <c r="CG178" s="71" t="str">
        <f>IF(OR(COUNTBLANK(CJ178)=1,ISERROR(CJ178)),"",COUNT($CJ$4:CJ178))</f>
        <v/>
      </c>
      <c r="CH178" s="7" t="e">
        <f t="shared" si="150"/>
        <v>#VALUE!</v>
      </c>
      <c r="CI178" s="1" t="str">
        <f t="shared" si="151"/>
        <v/>
      </c>
      <c r="CJ178" s="79" t="e">
        <f>IF(IF(COUNTIF($CJ$4:CJ177,CJ175)&gt;=MAX($D$4:$D$8),CJ175+3,CJ175)&gt;55,"",IF(COUNTIF($CJ$4:CJ177,CJ175)&gt;=MAX($D$4:$D$8),CJ175+3,CJ175))</f>
        <v>#VALUE!</v>
      </c>
      <c r="CK178" s="1" t="e">
        <f t="shared" si="137"/>
        <v>#VALUE!</v>
      </c>
      <c r="CL178" s="8" t="str">
        <f t="shared" si="152"/>
        <v/>
      </c>
      <c r="CN178" s="71" t="e">
        <f t="shared" si="143"/>
        <v>#VALUE!</v>
      </c>
      <c r="CO178" s="71" t="str">
        <f>IF(OR(COUNTBLANK(CR178)=1,ISERROR(CR178)),"",COUNT($CR$4:CR178))</f>
        <v/>
      </c>
      <c r="CP178" s="7" t="e">
        <f t="shared" si="144"/>
        <v>#VALUE!</v>
      </c>
      <c r="CQ178" s="1" t="str">
        <f t="shared" si="145"/>
        <v/>
      </c>
      <c r="CR178" s="79" t="e">
        <f>IF(IF(COUNTIF($CR$4:CR177,CR174)&gt;=MAX($D$4:$D$8),CR174+4,CR174)&gt;55,"",IF(COUNTIF($CR$4:CR177,CR174)&gt;=MAX($D$4:$D$8),CR174+4,CR174))</f>
        <v>#VALUE!</v>
      </c>
      <c r="CS178" s="1" t="e">
        <f t="shared" si="138"/>
        <v>#VALUE!</v>
      </c>
      <c r="CT178" s="8" t="str">
        <f t="shared" si="146"/>
        <v/>
      </c>
      <c r="CV178" s="71" t="e">
        <f t="shared" si="153"/>
        <v>#VALUE!</v>
      </c>
      <c r="CW178" s="71" t="str">
        <f>IF(OR(COUNTBLANK(CZ178)=1,ISERROR(CZ178)),"",COUNT($CZ$4:CZ178))</f>
        <v/>
      </c>
      <c r="CX178" s="7" t="e">
        <f t="shared" si="154"/>
        <v>#VALUE!</v>
      </c>
      <c r="CY178" s="1" t="str">
        <f t="shared" si="155"/>
        <v/>
      </c>
      <c r="CZ178" s="79" t="e">
        <f>IF(IF(COUNTIF($CZ$4:CZ177,CZ173)&gt;=MAX($D$4:$D$8),CZ173+5,CZ173)&gt;55,"",IF(COUNTIF($CZ$4:CZ177,CZ173)&gt;=MAX($D$4:$D$8),CZ173+5,CZ173))</f>
        <v>#VALUE!</v>
      </c>
      <c r="DA178" s="1" t="e">
        <f t="shared" si="139"/>
        <v>#VALUE!</v>
      </c>
      <c r="DB178" s="8" t="str">
        <f t="shared" si="156"/>
        <v/>
      </c>
    </row>
    <row r="179" spans="5:106" x14ac:dyDescent="0.15">
      <c r="E179" s="1">
        <v>176</v>
      </c>
      <c r="F179" s="1">
        <f t="shared" si="140"/>
        <v>1</v>
      </c>
      <c r="G179" s="1">
        <f t="shared" si="147"/>
        <v>1</v>
      </c>
      <c r="H179" s="1">
        <f t="shared" si="141"/>
        <v>1</v>
      </c>
      <c r="I179" s="1">
        <f t="shared" si="142"/>
        <v>1</v>
      </c>
      <c r="J179" s="1">
        <f t="shared" si="148"/>
        <v>1</v>
      </c>
      <c r="L179" s="1" t="str">
        <f>IF(ISERROR(HLOOKUP($C$10,$F$3:$J$253,177,0)),"",HLOOKUP($C$10,$F$3:$J$253,177,0))</f>
        <v/>
      </c>
      <c r="N179" s="67"/>
      <c r="W179" s="71" t="e">
        <f>IF(AA179="","",AA179*10+1)</f>
        <v>#VALUE!</v>
      </c>
      <c r="X179" s="71" t="str">
        <f>IF(OR(COUNTBLANK(AA179)=1,ISERROR(AA179)),"",COUNT(AA4:AA179))</f>
        <v/>
      </c>
      <c r="Y179" s="7" t="e">
        <f t="shared" si="113"/>
        <v>#VALUE!</v>
      </c>
      <c r="Z179" s="1" t="str">
        <f t="shared" si="127"/>
        <v/>
      </c>
      <c r="AA179" s="79" t="e">
        <f>IF(IF(COUNTIF(AA4:AA178,AA178)&gt;=MAX(D4:D8),AA178+1,AA178)&gt;50,"",IF(COUNTIF(AA4:AA178,AA178)&gt;=MAX(D4:D8),AA178+1,AA178))</f>
        <v>#VALUE!</v>
      </c>
      <c r="AB179" s="1" t="e">
        <f>IF(AA179="","",VLOOKUP(AA179,S4:U53,3,0))</f>
        <v>#VALUE!</v>
      </c>
      <c r="AC179" s="8" t="str">
        <f t="shared" si="114"/>
        <v/>
      </c>
      <c r="AE179" s="71" t="e">
        <f t="shared" si="115"/>
        <v>#VALUE!</v>
      </c>
      <c r="AF179" s="71" t="str">
        <f>IF(OR(COUNTBLANK(AI179)=1,ISERROR(AI179)),"",COUNT(AI4:AI179))</f>
        <v/>
      </c>
      <c r="AG179" s="7" t="e">
        <f t="shared" si="116"/>
        <v>#VALUE!</v>
      </c>
      <c r="AH179" s="1" t="str">
        <f>IF(ISERROR(INDEX(C4:C8,MATCH(G179,D4:D8,0))),"",INDEX(C4:C8,MATCH(G179,D4:D8,0)))</f>
        <v/>
      </c>
      <c r="AI179" s="79" t="e">
        <f>IF(IF(COUNTIF(AI4:AI177,AI177)&gt;=MAX(D4:D8),AI177+2,AI177)&gt;50,"",IF(COUNTIF(AI4:AI177,AI177)&gt;=MAX(D4:D8),AI177+2,AI177))</f>
        <v>#VALUE!</v>
      </c>
      <c r="AJ179" s="1" t="e">
        <f>IF(AI179="","",VLOOKUP(AI179,S4:U53,3,0))</f>
        <v>#VALUE!</v>
      </c>
      <c r="AK179" s="8" t="str">
        <f t="shared" si="117"/>
        <v/>
      </c>
      <c r="AM179" s="71" t="e">
        <f t="shared" si="118"/>
        <v>#VALUE!</v>
      </c>
      <c r="AN179" s="71" t="str">
        <f>IF(OR(COUNTBLANK(AQ179)=1,ISERROR(AQ179)),"",COUNT(AQ4:AQ179))</f>
        <v/>
      </c>
      <c r="AO179" s="7" t="e">
        <f t="shared" si="119"/>
        <v>#VALUE!</v>
      </c>
      <c r="AP179" s="1" t="str">
        <f>IF(ISERROR(INDEX(C4:C8,MATCH(H179,D4:D8,0))),"",INDEX(C4:C8,MATCH(H179,D4:D8,0)))</f>
        <v/>
      </c>
      <c r="AQ179" s="79" t="e">
        <f>IF(IF(COUNTIF(AQ4:AQ178,AQ176)&gt;=MAX(D4:D8),AQ176+3,AQ176)&gt;50,"",IF(COUNTIF(AQ4:AQ178,AQ176)&gt;=MAX(D4:D8),AQ176+3,AQ176))</f>
        <v>#VALUE!</v>
      </c>
      <c r="AR179" s="1" t="e">
        <f>IF(AQ179="","",VLOOKUP(AQ179,S4:U53,3,0))</f>
        <v>#VALUE!</v>
      </c>
      <c r="AS179" s="8" t="str">
        <f t="shared" si="120"/>
        <v/>
      </c>
      <c r="AU179" s="71" t="e">
        <f t="shared" si="121"/>
        <v>#VALUE!</v>
      </c>
      <c r="AV179" s="71" t="str">
        <f>IF(OR(COUNTBLANK(AY179)=1,ISERROR(AY179)),"",COUNT(AY4:AY179))</f>
        <v/>
      </c>
      <c r="AW179" s="7" t="e">
        <f t="shared" si="122"/>
        <v>#VALUE!</v>
      </c>
      <c r="AX179" s="1" t="str">
        <f>IF(ISERROR(INDEX(C4:C8,MATCH(I179,D4:D8,0))),"",INDEX(C4:C8,MATCH(I179,D4:D8,0)))</f>
        <v/>
      </c>
      <c r="AY179" s="79" t="e">
        <f>IF(IF(COUNTIF(AY4:AY178,AY175)&gt;=MAX(D4:D8),AY175+4,AY175)&gt;50,"",IF(COUNTIF(AY4:AY178,AY175)&gt;=MAX(D4:D8),AY175+4,AY175))</f>
        <v>#VALUE!</v>
      </c>
      <c r="AZ179" s="76" t="e">
        <f>IF(AY179="","",VLOOKUP(AY179,S4:U53,3,0))</f>
        <v>#VALUE!</v>
      </c>
      <c r="BA179" s="8" t="str">
        <f t="shared" si="123"/>
        <v/>
      </c>
      <c r="BC179" s="71" t="e">
        <f t="shared" si="124"/>
        <v>#VALUE!</v>
      </c>
      <c r="BD179" s="71" t="str">
        <f>IF(OR(COUNTBLANK(BG179)=1,ISERROR(BG179)),"",COUNT(BG4:BG179))</f>
        <v/>
      </c>
      <c r="BE179" s="7" t="e">
        <f t="shared" si="125"/>
        <v>#VALUE!</v>
      </c>
      <c r="BF179" s="1" t="str">
        <f>IF(ISERROR(INDEX(C4:C8,MATCH(J179,D4:D8,0))),"",INDEX(C4:C8,MATCH(J179,D4:D8,0)))</f>
        <v/>
      </c>
      <c r="BG179" s="79" t="e">
        <f>IF(IF(COUNTIF(BG4:BG178,BG174)&gt;=MAX(D4:D8),BG174+5,BG174)&gt;50,"",IF(COUNTIF(BG4:BG178,BG174)&gt;=MAX(D4:D8),BG174+5,BG174))</f>
        <v>#VALUE!</v>
      </c>
      <c r="BH179" s="76" t="e">
        <f>IF(BG179="","",VLOOKUP(BG179,S4:U53,3,0))</f>
        <v>#VALUE!</v>
      </c>
      <c r="BI179" s="8" t="str">
        <f t="shared" si="126"/>
        <v/>
      </c>
      <c r="BP179" s="71" t="e">
        <f>IF(BT179="","",BT179*10+1)</f>
        <v>#VALUE!</v>
      </c>
      <c r="BQ179" s="71" t="str">
        <f>IF(OR(COUNTBLANK(BT179)=1,ISERROR(BT179)),"",COUNT(BT4:BT179))</f>
        <v/>
      </c>
      <c r="BR179" s="7" t="e">
        <f t="shared" si="128"/>
        <v>#VALUE!</v>
      </c>
      <c r="BS179" s="1" t="str">
        <f t="shared" si="129"/>
        <v/>
      </c>
      <c r="BT179" s="79" t="e">
        <f>IF(IF(COUNTIF($BT$4:BT178,BT178)&gt;=MAX($D$4:$D$8),BT178+1,BT178)&gt;55,"",IF(COUNTIF($BT$4:BT178,BT178)&gt;=MAX($D$4:$D$8),BT178+1,BT178))</f>
        <v>#VALUE!</v>
      </c>
      <c r="BU179" s="1" t="e">
        <f t="shared" si="130"/>
        <v>#VALUE!</v>
      </c>
      <c r="BV179" s="8" t="str">
        <f t="shared" si="131"/>
        <v/>
      </c>
      <c r="BX179" s="71" t="e">
        <f t="shared" si="132"/>
        <v>#VALUE!</v>
      </c>
      <c r="BY179" s="71" t="str">
        <f>IF(OR(COUNTBLANK(CB179)=1,ISERROR(CB179)),"",COUNT($CB$4:CB179))</f>
        <v/>
      </c>
      <c r="BZ179" s="7" t="e">
        <f t="shared" si="133"/>
        <v>#VALUE!</v>
      </c>
      <c r="CA179" s="1" t="str">
        <f t="shared" si="134"/>
        <v/>
      </c>
      <c r="CB179" s="79" t="e">
        <f>IF(IF(COUNTIF($CB$4:CB178,CB177)&gt;=MAX($D$4:$D$8),CB177+2,CB177)&gt;55,"",IF(COUNTIF($CB$4:CB178,CB177)&gt;=MAX($D$4:$D$8),CB177+2,CB177))</f>
        <v>#VALUE!</v>
      </c>
      <c r="CC179" s="1" t="e">
        <f t="shared" si="135"/>
        <v>#VALUE!</v>
      </c>
      <c r="CD179" s="8" t="str">
        <f t="shared" si="136"/>
        <v/>
      </c>
      <c r="CF179" s="71" t="e">
        <f t="shared" si="149"/>
        <v>#VALUE!</v>
      </c>
      <c r="CG179" s="71" t="str">
        <f>IF(OR(COUNTBLANK(CJ179)=1,ISERROR(CJ179)),"",COUNT($CJ$4:CJ179))</f>
        <v/>
      </c>
      <c r="CH179" s="7" t="e">
        <f t="shared" si="150"/>
        <v>#VALUE!</v>
      </c>
      <c r="CI179" s="1" t="str">
        <f t="shared" si="151"/>
        <v/>
      </c>
      <c r="CJ179" s="79" t="e">
        <f>IF(IF(COUNTIF($CJ$4:CJ178,CJ176)&gt;=MAX($D$4:$D$8),CJ176+3,CJ176)&gt;55,"",IF(COUNTIF($CJ$4:CJ178,CJ176)&gt;=MAX($D$4:$D$8),CJ176+3,CJ176))</f>
        <v>#VALUE!</v>
      </c>
      <c r="CK179" s="1" t="e">
        <f t="shared" si="137"/>
        <v>#VALUE!</v>
      </c>
      <c r="CL179" s="8" t="str">
        <f t="shared" si="152"/>
        <v/>
      </c>
      <c r="CN179" s="71" t="e">
        <f t="shared" si="143"/>
        <v>#VALUE!</v>
      </c>
      <c r="CO179" s="71" t="str">
        <f>IF(OR(COUNTBLANK(CR179)=1,ISERROR(CR179)),"",COUNT($CR$4:CR179))</f>
        <v/>
      </c>
      <c r="CP179" s="7" t="e">
        <f t="shared" si="144"/>
        <v>#VALUE!</v>
      </c>
      <c r="CQ179" s="1" t="str">
        <f t="shared" si="145"/>
        <v/>
      </c>
      <c r="CR179" s="79" t="e">
        <f>IF(IF(COUNTIF($CR$4:CR178,CR175)&gt;=MAX($D$4:$D$8),CR175+4,CR175)&gt;55,"",IF(COUNTIF($CR$4:CR178,CR175)&gt;=MAX($D$4:$D$8),CR175+4,CR175))</f>
        <v>#VALUE!</v>
      </c>
      <c r="CS179" s="1" t="e">
        <f t="shared" si="138"/>
        <v>#VALUE!</v>
      </c>
      <c r="CT179" s="8" t="str">
        <f t="shared" si="146"/>
        <v/>
      </c>
      <c r="CV179" s="71" t="e">
        <f t="shared" si="153"/>
        <v>#VALUE!</v>
      </c>
      <c r="CW179" s="71" t="str">
        <f>IF(OR(COUNTBLANK(CZ179)=1,ISERROR(CZ179)),"",COUNT($CZ$4:CZ179))</f>
        <v/>
      </c>
      <c r="CX179" s="7" t="e">
        <f t="shared" si="154"/>
        <v>#VALUE!</v>
      </c>
      <c r="CY179" s="1" t="str">
        <f t="shared" si="155"/>
        <v/>
      </c>
      <c r="CZ179" s="79" t="e">
        <f>IF(IF(COUNTIF($CZ$4:CZ178,CZ174)&gt;=MAX($D$4:$D$8),CZ174+5,CZ174)&gt;55,"",IF(COUNTIF($CZ$4:CZ178,CZ174)&gt;=MAX($D$4:$D$8),CZ174+5,CZ174))</f>
        <v>#VALUE!</v>
      </c>
      <c r="DA179" s="1" t="e">
        <f t="shared" si="139"/>
        <v>#VALUE!</v>
      </c>
      <c r="DB179" s="8" t="str">
        <f t="shared" si="156"/>
        <v/>
      </c>
    </row>
    <row r="180" spans="5:106" x14ac:dyDescent="0.15">
      <c r="E180" s="1">
        <v>177</v>
      </c>
      <c r="F180" s="1">
        <f t="shared" si="140"/>
        <v>1</v>
      </c>
      <c r="G180" s="1">
        <f t="shared" si="147"/>
        <v>1</v>
      </c>
      <c r="H180" s="1">
        <f t="shared" si="141"/>
        <v>1</v>
      </c>
      <c r="I180" s="1">
        <f t="shared" si="142"/>
        <v>1</v>
      </c>
      <c r="J180" s="1">
        <f t="shared" si="148"/>
        <v>1</v>
      </c>
      <c r="L180" s="1" t="str">
        <f>IF(ISERROR(HLOOKUP($C$10,$F$3:$J$253,178,0)),"",HLOOKUP($C$10,$F$3:$J$253,178,0))</f>
        <v/>
      </c>
      <c r="N180" s="67"/>
      <c r="W180" s="71" t="e">
        <f>IF(AA180="","",AA180*10+2)</f>
        <v>#VALUE!</v>
      </c>
      <c r="X180" s="71" t="str">
        <f>IF(OR(COUNTBLANK(AA180)=1,ISERROR(AA180)),"",COUNT(AA4:AA180))</f>
        <v/>
      </c>
      <c r="Y180" s="7" t="e">
        <f t="shared" si="113"/>
        <v>#VALUE!</v>
      </c>
      <c r="Z180" s="1" t="str">
        <f t="shared" si="127"/>
        <v/>
      </c>
      <c r="AA180" s="79" t="e">
        <f>IF(IF(COUNTIF(AA4:AA179,AA179)&gt;=MAX(D4:D8),AA179+1,AA179)&gt;50,"",IF(COUNTIF(AA4:AA179,AA179)&gt;=MAX(D4:D8),AA179+1,AA179))</f>
        <v>#VALUE!</v>
      </c>
      <c r="AB180" s="1" t="e">
        <f>IF(AA180="","",VLOOKUP(AA180,S4:U53,3,0))</f>
        <v>#VALUE!</v>
      </c>
      <c r="AC180" s="8" t="str">
        <f t="shared" si="114"/>
        <v/>
      </c>
      <c r="AE180" s="71" t="e">
        <f t="shared" si="115"/>
        <v>#VALUE!</v>
      </c>
      <c r="AF180" s="71" t="str">
        <f>IF(OR(COUNTBLANK(AI180)=1,ISERROR(AI180)),"",COUNT(AI4:AI180))</f>
        <v/>
      </c>
      <c r="AG180" s="7" t="e">
        <f t="shared" si="116"/>
        <v>#VALUE!</v>
      </c>
      <c r="AH180" s="1" t="str">
        <f>IF(ISERROR(INDEX(C4:C8,MATCH(G180,D4:D8,0))),"",INDEX(C4:C8,MATCH(G180,D4:D8,0)))</f>
        <v/>
      </c>
      <c r="AI180" s="79" t="e">
        <f>IF(IF(COUNTIF(AI4:AI179,AI178)&gt;=MAX(D4:D8),AI178+2,AI178)&gt;50,"",IF(COUNTIF(AI4:AI179,AI178)&gt;=MAX(D4:D8),AI178+2,AI178))</f>
        <v>#VALUE!</v>
      </c>
      <c r="AJ180" s="1" t="e">
        <f>IF(AI180="","",VLOOKUP(AI180,S4:U53,3,0))</f>
        <v>#VALUE!</v>
      </c>
      <c r="AK180" s="8" t="str">
        <f t="shared" si="117"/>
        <v/>
      </c>
      <c r="AM180" s="71" t="e">
        <f t="shared" si="118"/>
        <v>#VALUE!</v>
      </c>
      <c r="AN180" s="71" t="str">
        <f>IF(OR(COUNTBLANK(AQ180)=1,ISERROR(AQ180)),"",COUNT(AQ4:AQ180))</f>
        <v/>
      </c>
      <c r="AO180" s="7" t="e">
        <f t="shared" si="119"/>
        <v>#VALUE!</v>
      </c>
      <c r="AP180" s="1" t="str">
        <f>IF(ISERROR(INDEX(C4:C8,MATCH(H180,D4:D8,0))),"",INDEX(C4:C8,MATCH(H180,D4:D8,0)))</f>
        <v/>
      </c>
      <c r="AQ180" s="79" t="e">
        <f>IF(IF(COUNTIF(AQ4:AQ179,AQ177)&gt;=MAX(D4:D8),AQ177+3,AQ177)&gt;50,"",IF(COUNTIF(AQ4:AQ179,AQ177)&gt;=MAX(D4:D8),AQ177+3,AQ177))</f>
        <v>#VALUE!</v>
      </c>
      <c r="AR180" s="1" t="e">
        <f>IF(AQ180="","",VLOOKUP(AQ180,S4:U53,3,0))</f>
        <v>#VALUE!</v>
      </c>
      <c r="AS180" s="8" t="str">
        <f t="shared" si="120"/>
        <v/>
      </c>
      <c r="AU180" s="71" t="e">
        <f t="shared" si="121"/>
        <v>#VALUE!</v>
      </c>
      <c r="AV180" s="71" t="str">
        <f>IF(OR(COUNTBLANK(AY180)=1,ISERROR(AY180)),"",COUNT(AY4:AY180))</f>
        <v/>
      </c>
      <c r="AW180" s="7" t="e">
        <f t="shared" si="122"/>
        <v>#VALUE!</v>
      </c>
      <c r="AX180" s="1" t="str">
        <f>IF(ISERROR(INDEX(C4:C8,MATCH(I180,D4:D8,0))),"",INDEX(C4:C8,MATCH(I180,D4:D8,0)))</f>
        <v/>
      </c>
      <c r="AY180" s="79" t="e">
        <f>IF(IF(COUNTIF(AY4:AY179,AY176)&gt;=MAX(D4:D8),AY176+4,AY176)&gt;50,"",IF(COUNTIF(AY4:AY179,AY176)&gt;=MAX(D4:D8),AY176+4,AY176))</f>
        <v>#VALUE!</v>
      </c>
      <c r="AZ180" s="76" t="e">
        <f>IF(AY180="","",VLOOKUP(AY180,S4:U53,3,0))</f>
        <v>#VALUE!</v>
      </c>
      <c r="BA180" s="8" t="str">
        <f t="shared" si="123"/>
        <v/>
      </c>
      <c r="BC180" s="71" t="e">
        <f t="shared" si="124"/>
        <v>#VALUE!</v>
      </c>
      <c r="BD180" s="71" t="str">
        <f>IF(OR(COUNTBLANK(BG180)=1,ISERROR(BG180)),"",COUNT(BG4:BG180))</f>
        <v/>
      </c>
      <c r="BE180" s="7" t="e">
        <f t="shared" si="125"/>
        <v>#VALUE!</v>
      </c>
      <c r="BF180" s="1" t="str">
        <f>IF(ISERROR(INDEX(C4:C8,MATCH(J180,D4:D8,0))),"",INDEX(C4:C8,MATCH(J180,D4:D8,0)))</f>
        <v/>
      </c>
      <c r="BG180" s="79" t="e">
        <f>IF(IF(COUNTIF(BG4:BG179,BG175)&gt;=MAX(D4:D8),BG175+5,BG175)&gt;50,"",IF(COUNTIF(BG4:BG179,BG175)&gt;=MAX(D4:D8),BG175+5,BG175))</f>
        <v>#VALUE!</v>
      </c>
      <c r="BH180" s="76" t="e">
        <f>IF(BG180="","",VLOOKUP(BG180,S4:U53,3,0))</f>
        <v>#VALUE!</v>
      </c>
      <c r="BI180" s="8" t="str">
        <f t="shared" si="126"/>
        <v/>
      </c>
      <c r="BP180" s="71" t="e">
        <f>IF(BT180="","",BT180*10+2)</f>
        <v>#VALUE!</v>
      </c>
      <c r="BQ180" s="71" t="str">
        <f>IF(OR(COUNTBLANK(BT180)=1,ISERROR(BT180)),"",COUNT(BT4:BT180))</f>
        <v/>
      </c>
      <c r="BR180" s="7" t="e">
        <f t="shared" si="128"/>
        <v>#VALUE!</v>
      </c>
      <c r="BS180" s="1" t="str">
        <f t="shared" si="129"/>
        <v/>
      </c>
      <c r="BT180" s="79" t="e">
        <f>IF(IF(COUNTIF($BT$4:BT179,BT179)&gt;=MAX($D$4:$D$8),BT179+1,BT179)&gt;55,"",IF(COUNTIF($BT$4:BT179,BT179)&gt;=MAX($D$4:$D$8),BT179+1,BT179))</f>
        <v>#VALUE!</v>
      </c>
      <c r="BU180" s="1" t="e">
        <f t="shared" si="130"/>
        <v>#VALUE!</v>
      </c>
      <c r="BV180" s="8" t="str">
        <f t="shared" si="131"/>
        <v/>
      </c>
      <c r="BX180" s="71" t="e">
        <f t="shared" si="132"/>
        <v>#VALUE!</v>
      </c>
      <c r="BY180" s="71" t="str">
        <f>IF(OR(COUNTBLANK(CB180)=1,ISERROR(CB180)),"",COUNT($CB$4:CB180))</f>
        <v/>
      </c>
      <c r="BZ180" s="7" t="e">
        <f t="shared" si="133"/>
        <v>#VALUE!</v>
      </c>
      <c r="CA180" s="1" t="str">
        <f t="shared" si="134"/>
        <v/>
      </c>
      <c r="CB180" s="79" t="e">
        <f>IF(IF(COUNTIF($CB$4:CB179,CB178)&gt;=MAX($D$4:$D$8),CB178+2,CB178)&gt;55,"",IF(COUNTIF($CB$4:CB179,CB178)&gt;=MAX($D$4:$D$8),CB178+2,CB178))</f>
        <v>#VALUE!</v>
      </c>
      <c r="CC180" s="1" t="e">
        <f t="shared" si="135"/>
        <v>#VALUE!</v>
      </c>
      <c r="CD180" s="8" t="str">
        <f t="shared" si="136"/>
        <v/>
      </c>
      <c r="CF180" s="71" t="e">
        <f t="shared" si="149"/>
        <v>#VALUE!</v>
      </c>
      <c r="CG180" s="71" t="str">
        <f>IF(OR(COUNTBLANK(CJ180)=1,ISERROR(CJ180)),"",COUNT($CJ$4:CJ180))</f>
        <v/>
      </c>
      <c r="CH180" s="7" t="e">
        <f t="shared" si="150"/>
        <v>#VALUE!</v>
      </c>
      <c r="CI180" s="1" t="str">
        <f t="shared" si="151"/>
        <v/>
      </c>
      <c r="CJ180" s="79" t="e">
        <f>IF(IF(COUNTIF($CJ$4:CJ179,CJ177)&gt;=MAX($D$4:$D$8),CJ177+3,CJ177)&gt;55,"",IF(COUNTIF($CJ$4:CJ179,CJ177)&gt;=MAX($D$4:$D$8),CJ177+3,CJ177))</f>
        <v>#VALUE!</v>
      </c>
      <c r="CK180" s="1" t="e">
        <f t="shared" si="137"/>
        <v>#VALUE!</v>
      </c>
      <c r="CL180" s="8" t="str">
        <f t="shared" si="152"/>
        <v/>
      </c>
      <c r="CN180" s="71" t="e">
        <f t="shared" si="143"/>
        <v>#VALUE!</v>
      </c>
      <c r="CO180" s="71" t="str">
        <f>IF(OR(COUNTBLANK(CR180)=1,ISERROR(CR180)),"",COUNT($CR$4:CR180))</f>
        <v/>
      </c>
      <c r="CP180" s="7" t="e">
        <f t="shared" si="144"/>
        <v>#VALUE!</v>
      </c>
      <c r="CQ180" s="1" t="str">
        <f t="shared" si="145"/>
        <v/>
      </c>
      <c r="CR180" s="79" t="e">
        <f>IF(IF(COUNTIF($CR$4:CR179,CR176)&gt;=MAX($D$4:$D$8),CR176+4,CR176)&gt;55,"",IF(COUNTIF($CR$4:CR179,CR176)&gt;=MAX($D$4:$D$8),CR176+4,CR176))</f>
        <v>#VALUE!</v>
      </c>
      <c r="CS180" s="1" t="e">
        <f t="shared" si="138"/>
        <v>#VALUE!</v>
      </c>
      <c r="CT180" s="8" t="str">
        <f t="shared" si="146"/>
        <v/>
      </c>
      <c r="CV180" s="71" t="e">
        <f t="shared" si="153"/>
        <v>#VALUE!</v>
      </c>
      <c r="CW180" s="71" t="str">
        <f>IF(OR(COUNTBLANK(CZ180)=1,ISERROR(CZ180)),"",COUNT($CZ$4:CZ180))</f>
        <v/>
      </c>
      <c r="CX180" s="7" t="e">
        <f t="shared" si="154"/>
        <v>#VALUE!</v>
      </c>
      <c r="CY180" s="1" t="str">
        <f t="shared" si="155"/>
        <v/>
      </c>
      <c r="CZ180" s="79" t="e">
        <f>IF(IF(COUNTIF($CZ$4:CZ179,CZ175)&gt;=MAX($D$4:$D$8),CZ175+5,CZ175)&gt;55,"",IF(COUNTIF($CZ$4:CZ179,CZ175)&gt;=MAX($D$4:$D$8),CZ175+5,CZ175))</f>
        <v>#VALUE!</v>
      </c>
      <c r="DA180" s="1" t="e">
        <f t="shared" si="139"/>
        <v>#VALUE!</v>
      </c>
      <c r="DB180" s="8" t="str">
        <f t="shared" si="156"/>
        <v/>
      </c>
    </row>
    <row r="181" spans="5:106" x14ac:dyDescent="0.15">
      <c r="E181" s="1">
        <v>178</v>
      </c>
      <c r="F181" s="1">
        <f t="shared" si="140"/>
        <v>1</v>
      </c>
      <c r="G181" s="1">
        <f t="shared" si="147"/>
        <v>1</v>
      </c>
      <c r="H181" s="1">
        <f t="shared" si="141"/>
        <v>1</v>
      </c>
      <c r="I181" s="1">
        <f t="shared" si="142"/>
        <v>1</v>
      </c>
      <c r="J181" s="1">
        <f t="shared" si="148"/>
        <v>1</v>
      </c>
      <c r="L181" s="1" t="str">
        <f>IF(ISERROR(HLOOKUP($C$10,$F$3:$J$253,179,0)),"",HLOOKUP($C$10,$F$3:$J$253,179,0))</f>
        <v/>
      </c>
      <c r="N181" s="67"/>
      <c r="W181" s="71" t="e">
        <f>IF(AA181="","",AA181*10+3)</f>
        <v>#VALUE!</v>
      </c>
      <c r="X181" s="71" t="str">
        <f>IF(OR(COUNTBLANK(AA181)=1,ISERROR(AA181)),"",COUNT(AA4:AA181))</f>
        <v/>
      </c>
      <c r="Y181" s="7" t="e">
        <f t="shared" si="113"/>
        <v>#VALUE!</v>
      </c>
      <c r="Z181" s="1" t="str">
        <f t="shared" si="127"/>
        <v/>
      </c>
      <c r="AA181" s="79" t="e">
        <f>IF(IF(COUNTIF(AA4:AA180,AA180)&gt;=MAX(D4:D8),AA180+1,AA180)&gt;50,"",IF(COUNTIF(AA4:AA180,AA180)&gt;=MAX(D4:D8),AA180+1,AA180))</f>
        <v>#VALUE!</v>
      </c>
      <c r="AB181" s="1" t="e">
        <f>IF(AA181="","",VLOOKUP(AA181,S4:U53,3,0))</f>
        <v>#VALUE!</v>
      </c>
      <c r="AC181" s="8" t="str">
        <f t="shared" si="114"/>
        <v/>
      </c>
      <c r="AE181" s="71" t="e">
        <f t="shared" si="115"/>
        <v>#VALUE!</v>
      </c>
      <c r="AF181" s="71" t="str">
        <f>IF(OR(COUNTBLANK(AI181)=1,ISERROR(AI181)),"",COUNT(AI4:AI181))</f>
        <v/>
      </c>
      <c r="AG181" s="7" t="e">
        <f t="shared" si="116"/>
        <v>#VALUE!</v>
      </c>
      <c r="AH181" s="1" t="str">
        <f>IF(ISERROR(INDEX(C4:C8,MATCH(G181,D4:D8,0))),"",INDEX(C4:C8,MATCH(G181,D4:D8,0)))</f>
        <v/>
      </c>
      <c r="AI181" s="79" t="e">
        <f>IF(IF(COUNTIF(AI4:AI179,AI179)&gt;=MAX(D4:D8),AI179+2,AI179)&gt;50,"",IF(COUNTIF(AI4:AI179,AI179)&gt;=MAX(D4:D8),AI179+2,AI179))</f>
        <v>#VALUE!</v>
      </c>
      <c r="AJ181" s="1" t="e">
        <f>IF(AI181="","",VLOOKUP(AI181,S4:U53,3,0))</f>
        <v>#VALUE!</v>
      </c>
      <c r="AK181" s="8" t="str">
        <f t="shared" si="117"/>
        <v/>
      </c>
      <c r="AM181" s="71" t="e">
        <f t="shared" si="118"/>
        <v>#VALUE!</v>
      </c>
      <c r="AN181" s="71" t="str">
        <f>IF(OR(COUNTBLANK(AQ181)=1,ISERROR(AQ181)),"",COUNT(AQ4:AQ181))</f>
        <v/>
      </c>
      <c r="AO181" s="7" t="e">
        <f t="shared" si="119"/>
        <v>#VALUE!</v>
      </c>
      <c r="AP181" s="1" t="str">
        <f>IF(ISERROR(INDEX(C4:C8,MATCH(H181,D4:D8,0))),"",INDEX(C4:C8,MATCH(H181,D4:D8,0)))</f>
        <v/>
      </c>
      <c r="AQ181" s="79" t="e">
        <f>IF(IF(COUNTIF(AQ4:AQ180,AQ178)&gt;=MAX(D4:D8),AQ178+3,AQ178)&gt;50,"",IF(COUNTIF(AQ4:AQ180,AQ178)&gt;=MAX(D4:D8),AQ178+3,AQ178))</f>
        <v>#VALUE!</v>
      </c>
      <c r="AR181" s="1" t="e">
        <f>IF(AQ181="","",VLOOKUP(AQ181,S4:U53,3,0))</f>
        <v>#VALUE!</v>
      </c>
      <c r="AS181" s="8" t="str">
        <f t="shared" si="120"/>
        <v/>
      </c>
      <c r="AU181" s="71" t="e">
        <f t="shared" si="121"/>
        <v>#VALUE!</v>
      </c>
      <c r="AV181" s="71" t="str">
        <f>IF(OR(COUNTBLANK(AY181)=1,ISERROR(AY181)),"",COUNT(AY4:AY181))</f>
        <v/>
      </c>
      <c r="AW181" s="7" t="e">
        <f t="shared" si="122"/>
        <v>#VALUE!</v>
      </c>
      <c r="AX181" s="1" t="str">
        <f>IF(ISERROR(INDEX(C4:C8,MATCH(I181,D4:D8,0))),"",INDEX(C4:C8,MATCH(I181,D4:D8,0)))</f>
        <v/>
      </c>
      <c r="AY181" s="79" t="e">
        <f>IF(IF(COUNTIF(AY4:AY180,AY177)&gt;=MAX(D4:D8),AY177+4,AY177)&gt;50,"",IF(COUNTIF(AY4:AY180,AY177)&gt;=MAX(D4:D8),AY177+4,AY177))</f>
        <v>#VALUE!</v>
      </c>
      <c r="AZ181" s="76" t="e">
        <f>IF(AY181="","",VLOOKUP(AY181,S4:U53,3,0))</f>
        <v>#VALUE!</v>
      </c>
      <c r="BA181" s="8" t="str">
        <f t="shared" si="123"/>
        <v/>
      </c>
      <c r="BC181" s="71" t="e">
        <f t="shared" si="124"/>
        <v>#VALUE!</v>
      </c>
      <c r="BD181" s="71" t="str">
        <f>IF(OR(COUNTBLANK(BG181)=1,ISERROR(BG181)),"",COUNT(BG4:BG181))</f>
        <v/>
      </c>
      <c r="BE181" s="7" t="e">
        <f t="shared" si="125"/>
        <v>#VALUE!</v>
      </c>
      <c r="BF181" s="1" t="str">
        <f>IF(ISERROR(INDEX(C4:C8,MATCH(J181,D4:D8,0))),"",INDEX(C4:C8,MATCH(J181,D4:D8,0)))</f>
        <v/>
      </c>
      <c r="BG181" s="79" t="e">
        <f>IF(IF(COUNTIF(BG4:BG180,BG176)&gt;=MAX(D4:D8),BG176+5,BG176)&gt;50,"",IF(COUNTIF(BG4:BG180,BG176)&gt;=MAX(D4:D8),BG176+5,BG176))</f>
        <v>#VALUE!</v>
      </c>
      <c r="BH181" s="76" t="e">
        <f>IF(BG181="","",VLOOKUP(BG181,S4:U53,3,0))</f>
        <v>#VALUE!</v>
      </c>
      <c r="BI181" s="8" t="str">
        <f t="shared" si="126"/>
        <v/>
      </c>
      <c r="BP181" s="71" t="e">
        <f>IF(BT181="","",BT181*10+3)</f>
        <v>#VALUE!</v>
      </c>
      <c r="BQ181" s="71" t="str">
        <f>IF(OR(COUNTBLANK(BT181)=1,ISERROR(BT181)),"",COUNT(BT4:BT181))</f>
        <v/>
      </c>
      <c r="BR181" s="7" t="e">
        <f t="shared" si="128"/>
        <v>#VALUE!</v>
      </c>
      <c r="BS181" s="1" t="str">
        <f t="shared" si="129"/>
        <v/>
      </c>
      <c r="BT181" s="79" t="e">
        <f>IF(IF(COUNTIF($BT$4:BT180,BT180)&gt;=MAX($D$4:$D$8),BT180+1,BT180)&gt;55,"",IF(COUNTIF($BT$4:BT180,BT180)&gt;=MAX($D$4:$D$8),BT180+1,BT180))</f>
        <v>#VALUE!</v>
      </c>
      <c r="BU181" s="1" t="e">
        <f t="shared" si="130"/>
        <v>#VALUE!</v>
      </c>
      <c r="BV181" s="8" t="str">
        <f t="shared" si="131"/>
        <v/>
      </c>
      <c r="BX181" s="71" t="e">
        <f t="shared" si="132"/>
        <v>#VALUE!</v>
      </c>
      <c r="BY181" s="71" t="str">
        <f>IF(OR(COUNTBLANK(CB181)=1,ISERROR(CB181)),"",COUNT($CB$4:CB181))</f>
        <v/>
      </c>
      <c r="BZ181" s="7" t="e">
        <f t="shared" si="133"/>
        <v>#VALUE!</v>
      </c>
      <c r="CA181" s="1" t="str">
        <f t="shared" si="134"/>
        <v/>
      </c>
      <c r="CB181" s="79" t="e">
        <f>IF(IF(COUNTIF($CB$4:CB180,CB179)&gt;=MAX($D$4:$D$8),CB179+2,CB179)&gt;55,"",IF(COUNTIF($CB$4:CB180,CB179)&gt;=MAX($D$4:$D$8),CB179+2,CB179))</f>
        <v>#VALUE!</v>
      </c>
      <c r="CC181" s="1" t="e">
        <f t="shared" si="135"/>
        <v>#VALUE!</v>
      </c>
      <c r="CD181" s="8" t="str">
        <f t="shared" si="136"/>
        <v/>
      </c>
      <c r="CF181" s="71" t="e">
        <f t="shared" si="149"/>
        <v>#VALUE!</v>
      </c>
      <c r="CG181" s="71" t="str">
        <f>IF(OR(COUNTBLANK(CJ181)=1,ISERROR(CJ181)),"",COUNT($CJ$4:CJ181))</f>
        <v/>
      </c>
      <c r="CH181" s="7" t="e">
        <f t="shared" si="150"/>
        <v>#VALUE!</v>
      </c>
      <c r="CI181" s="1" t="str">
        <f t="shared" si="151"/>
        <v/>
      </c>
      <c r="CJ181" s="79" t="e">
        <f>IF(IF(COUNTIF($CJ$4:CJ180,CJ178)&gt;=MAX($D$4:$D$8),CJ178+3,CJ178)&gt;55,"",IF(COUNTIF($CJ$4:CJ180,CJ178)&gt;=MAX($D$4:$D$8),CJ178+3,CJ178))</f>
        <v>#VALUE!</v>
      </c>
      <c r="CK181" s="1" t="e">
        <f t="shared" si="137"/>
        <v>#VALUE!</v>
      </c>
      <c r="CL181" s="8" t="str">
        <f t="shared" si="152"/>
        <v/>
      </c>
      <c r="CN181" s="71" t="e">
        <f t="shared" si="143"/>
        <v>#VALUE!</v>
      </c>
      <c r="CO181" s="71" t="str">
        <f>IF(OR(COUNTBLANK(CR181)=1,ISERROR(CR181)),"",COUNT($CR$4:CR181))</f>
        <v/>
      </c>
      <c r="CP181" s="7" t="e">
        <f t="shared" si="144"/>
        <v>#VALUE!</v>
      </c>
      <c r="CQ181" s="1" t="str">
        <f t="shared" si="145"/>
        <v/>
      </c>
      <c r="CR181" s="79" t="e">
        <f>IF(IF(COUNTIF($CR$4:CR180,CR177)&gt;=MAX($D$4:$D$8),CR177+4,CR177)&gt;55,"",IF(COUNTIF($CR$4:CR180,CR177)&gt;=MAX($D$4:$D$8),CR177+4,CR177))</f>
        <v>#VALUE!</v>
      </c>
      <c r="CS181" s="1" t="e">
        <f t="shared" si="138"/>
        <v>#VALUE!</v>
      </c>
      <c r="CT181" s="8" t="str">
        <f t="shared" si="146"/>
        <v/>
      </c>
      <c r="CV181" s="71" t="e">
        <f t="shared" si="153"/>
        <v>#VALUE!</v>
      </c>
      <c r="CW181" s="71" t="str">
        <f>IF(OR(COUNTBLANK(CZ181)=1,ISERROR(CZ181)),"",COUNT($CZ$4:CZ181))</f>
        <v/>
      </c>
      <c r="CX181" s="7" t="e">
        <f t="shared" si="154"/>
        <v>#VALUE!</v>
      </c>
      <c r="CY181" s="1" t="str">
        <f t="shared" si="155"/>
        <v/>
      </c>
      <c r="CZ181" s="79" t="e">
        <f>IF(IF(COUNTIF($CZ$4:CZ180,CZ176)&gt;=MAX($D$4:$D$8),CZ176+5,CZ176)&gt;55,"",IF(COUNTIF($CZ$4:CZ180,CZ176)&gt;=MAX($D$4:$D$8),CZ176+5,CZ176))</f>
        <v>#VALUE!</v>
      </c>
      <c r="DA181" s="1" t="e">
        <f t="shared" si="139"/>
        <v>#VALUE!</v>
      </c>
      <c r="DB181" s="8" t="str">
        <f t="shared" si="156"/>
        <v/>
      </c>
    </row>
    <row r="182" spans="5:106" x14ac:dyDescent="0.15">
      <c r="E182" s="1">
        <v>179</v>
      </c>
      <c r="F182" s="1">
        <f t="shared" si="140"/>
        <v>1</v>
      </c>
      <c r="G182" s="1">
        <f t="shared" si="147"/>
        <v>1</v>
      </c>
      <c r="H182" s="1">
        <f t="shared" si="141"/>
        <v>1</v>
      </c>
      <c r="I182" s="1">
        <f t="shared" si="142"/>
        <v>1</v>
      </c>
      <c r="J182" s="1">
        <f t="shared" si="148"/>
        <v>1</v>
      </c>
      <c r="L182" s="1" t="str">
        <f>IF(ISERROR(HLOOKUP($C$10,$F$3:$J$253,180,0)),"",HLOOKUP($C$10,$F$3:$J$253,180,0))</f>
        <v/>
      </c>
      <c r="N182" s="67"/>
      <c r="W182" s="71" t="e">
        <f>IF(AA182="","",AA182*10+4)</f>
        <v>#VALUE!</v>
      </c>
      <c r="X182" s="71" t="str">
        <f>IF(OR(COUNTBLANK(AA182)=1,ISERROR(AA182)),"",COUNT(AA4:AA182))</f>
        <v/>
      </c>
      <c r="Y182" s="7" t="e">
        <f t="shared" si="113"/>
        <v>#VALUE!</v>
      </c>
      <c r="Z182" s="1" t="str">
        <f t="shared" si="127"/>
        <v/>
      </c>
      <c r="AA182" s="79" t="e">
        <f>IF(IF(COUNTIF(AA4:AA181,AA181)&gt;=MAX(D4:D8),AA181+1,AA181)&gt;50,"",IF(COUNTIF(AA4:AA181,AA181)&gt;=MAX(D4:D8),AA181+1,AA181))</f>
        <v>#VALUE!</v>
      </c>
      <c r="AB182" s="1" t="e">
        <f>IF(AA182="","",VLOOKUP(AA182,S4:U53,3,0))</f>
        <v>#VALUE!</v>
      </c>
      <c r="AC182" s="8" t="str">
        <f t="shared" si="114"/>
        <v/>
      </c>
      <c r="AE182" s="71" t="e">
        <f t="shared" si="115"/>
        <v>#VALUE!</v>
      </c>
      <c r="AF182" s="71" t="str">
        <f>IF(OR(COUNTBLANK(AI182)=1,ISERROR(AI182)),"",COUNT(AI4:AI182))</f>
        <v/>
      </c>
      <c r="AG182" s="7" t="e">
        <f t="shared" si="116"/>
        <v>#VALUE!</v>
      </c>
      <c r="AH182" s="1" t="str">
        <f>IF(ISERROR(INDEX(C4:C8,MATCH(G182,D4:D8,0))),"",INDEX(C4:C8,MATCH(G182,D4:D8,0)))</f>
        <v/>
      </c>
      <c r="AI182" s="79" t="e">
        <f>IF(IF(COUNTIF(AI4:AI181,AI180)&gt;=MAX(D4:D8),AI180+2,AI180)&gt;50,"",IF(COUNTIF(AI4:AI181,AI180)&gt;=MAX(D4:D8),AI180+2,AI180))</f>
        <v>#VALUE!</v>
      </c>
      <c r="AJ182" s="1" t="e">
        <f>IF(AI182="","",VLOOKUP(AI182,S4:U53,3,0))</f>
        <v>#VALUE!</v>
      </c>
      <c r="AK182" s="8" t="str">
        <f t="shared" si="117"/>
        <v/>
      </c>
      <c r="AM182" s="71" t="e">
        <f t="shared" si="118"/>
        <v>#VALUE!</v>
      </c>
      <c r="AN182" s="71" t="str">
        <f>IF(OR(COUNTBLANK(AQ182)=1,ISERROR(AQ182)),"",COUNT(AQ4:AQ182))</f>
        <v/>
      </c>
      <c r="AO182" s="7" t="e">
        <f t="shared" si="119"/>
        <v>#VALUE!</v>
      </c>
      <c r="AP182" s="1" t="str">
        <f>IF(ISERROR(INDEX(C4:C8,MATCH(H182,D4:D8,0))),"",INDEX(C4:C8,MATCH(H182,D4:D8,0)))</f>
        <v/>
      </c>
      <c r="AQ182" s="79" t="e">
        <f>IF(IF(COUNTIF(AQ4:AQ181,AQ179)&gt;=MAX(D4:D8),AQ179+3,AQ179)&gt;50,"",IF(COUNTIF(AQ4:AQ181,AQ179)&gt;=MAX(D4:D8),AQ179+3,AQ179))</f>
        <v>#VALUE!</v>
      </c>
      <c r="AR182" s="1" t="e">
        <f>IF(AQ182="","",VLOOKUP(AQ182,S4:U53,3,0))</f>
        <v>#VALUE!</v>
      </c>
      <c r="AS182" s="8" t="str">
        <f t="shared" si="120"/>
        <v/>
      </c>
      <c r="AU182" s="71" t="e">
        <f t="shared" si="121"/>
        <v>#VALUE!</v>
      </c>
      <c r="AV182" s="71" t="str">
        <f>IF(OR(COUNTBLANK(AY182)=1,ISERROR(AY182)),"",COUNT(AY4:AY182))</f>
        <v/>
      </c>
      <c r="AW182" s="7" t="e">
        <f t="shared" si="122"/>
        <v>#VALUE!</v>
      </c>
      <c r="AX182" s="1" t="str">
        <f>IF(ISERROR(INDEX(C4:C8,MATCH(I182,D4:D8,0))),"",INDEX(C4:C8,MATCH(I182,D4:D8,0)))</f>
        <v/>
      </c>
      <c r="AY182" s="79" t="e">
        <f>IF(IF(COUNTIF(AY4:AY181,AY178)&gt;=MAX(D4:D8),AY178+4,AY178)&gt;50,"",IF(COUNTIF(AY4:AY181,AY178)&gt;=MAX(D4:D8),AY178+4,AY178))</f>
        <v>#VALUE!</v>
      </c>
      <c r="AZ182" s="76" t="e">
        <f>IF(AY182="","",VLOOKUP(AY182,S4:U53,3,0))</f>
        <v>#VALUE!</v>
      </c>
      <c r="BA182" s="8" t="str">
        <f t="shared" si="123"/>
        <v/>
      </c>
      <c r="BC182" s="71" t="e">
        <f t="shared" si="124"/>
        <v>#VALUE!</v>
      </c>
      <c r="BD182" s="71" t="str">
        <f>IF(OR(COUNTBLANK(BG182)=1,ISERROR(BG182)),"",COUNT(BG4:BG182))</f>
        <v/>
      </c>
      <c r="BE182" s="7" t="e">
        <f t="shared" si="125"/>
        <v>#VALUE!</v>
      </c>
      <c r="BF182" s="1" t="str">
        <f>IF(ISERROR(INDEX(C4:C8,MATCH(J182,D4:D8,0))),"",INDEX(C4:C8,MATCH(J182,D4:D8,0)))</f>
        <v/>
      </c>
      <c r="BG182" s="79" t="e">
        <f>IF(IF(COUNTIF(BG4:BG181,BG177)&gt;=MAX(D4:D8),BG177+5,BG177)&gt;50,"",IF(COUNTIF(BG4:BG181,BG177)&gt;=MAX(D4:D8),BG177+5,BG177))</f>
        <v>#VALUE!</v>
      </c>
      <c r="BH182" s="76" t="e">
        <f>IF(BG182="","",VLOOKUP(BG182,S4:U53,3,0))</f>
        <v>#VALUE!</v>
      </c>
      <c r="BI182" s="8" t="str">
        <f t="shared" si="126"/>
        <v/>
      </c>
      <c r="BP182" s="71" t="e">
        <f>IF(BT182="","",BT182*10+4)</f>
        <v>#VALUE!</v>
      </c>
      <c r="BQ182" s="71" t="str">
        <f>IF(OR(COUNTBLANK(BT182)=1,ISERROR(BT182)),"",COUNT(BT4:BT182))</f>
        <v/>
      </c>
      <c r="BR182" s="7" t="e">
        <f t="shared" si="128"/>
        <v>#VALUE!</v>
      </c>
      <c r="BS182" s="1" t="str">
        <f t="shared" si="129"/>
        <v/>
      </c>
      <c r="BT182" s="79" t="e">
        <f>IF(IF(COUNTIF($BT$4:BT181,BT181)&gt;=MAX($D$4:$D$8),BT181+1,BT181)&gt;55,"",IF(COUNTIF($BT$4:BT181,BT181)&gt;=MAX($D$4:$D$8),BT181+1,BT181))</f>
        <v>#VALUE!</v>
      </c>
      <c r="BU182" s="1" t="e">
        <f t="shared" si="130"/>
        <v>#VALUE!</v>
      </c>
      <c r="BV182" s="8" t="str">
        <f t="shared" si="131"/>
        <v/>
      </c>
      <c r="BX182" s="71" t="e">
        <f t="shared" si="132"/>
        <v>#VALUE!</v>
      </c>
      <c r="BY182" s="71" t="str">
        <f>IF(OR(COUNTBLANK(CB182)=1,ISERROR(CB182)),"",COUNT($CB$4:CB182))</f>
        <v/>
      </c>
      <c r="BZ182" s="7" t="e">
        <f t="shared" si="133"/>
        <v>#VALUE!</v>
      </c>
      <c r="CA182" s="1" t="str">
        <f t="shared" si="134"/>
        <v/>
      </c>
      <c r="CB182" s="79" t="e">
        <f>IF(IF(COUNTIF($CB$4:CB181,CB180)&gt;=MAX($D$4:$D$8),CB180+2,CB180)&gt;55,"",IF(COUNTIF($CB$4:CB181,CB180)&gt;=MAX($D$4:$D$8),CB180+2,CB180))</f>
        <v>#VALUE!</v>
      </c>
      <c r="CC182" s="1" t="e">
        <f t="shared" si="135"/>
        <v>#VALUE!</v>
      </c>
      <c r="CD182" s="8" t="str">
        <f t="shared" si="136"/>
        <v/>
      </c>
      <c r="CF182" s="71" t="e">
        <f t="shared" si="149"/>
        <v>#VALUE!</v>
      </c>
      <c r="CG182" s="71" t="str">
        <f>IF(OR(COUNTBLANK(CJ182)=1,ISERROR(CJ182)),"",COUNT($CJ$4:CJ182))</f>
        <v/>
      </c>
      <c r="CH182" s="7" t="e">
        <f t="shared" si="150"/>
        <v>#VALUE!</v>
      </c>
      <c r="CI182" s="1" t="str">
        <f t="shared" si="151"/>
        <v/>
      </c>
      <c r="CJ182" s="79" t="e">
        <f>IF(IF(COUNTIF($CJ$4:CJ181,CJ179)&gt;=MAX($D$4:$D$8),CJ179+3,CJ179)&gt;55,"",IF(COUNTIF($CJ$4:CJ181,CJ179)&gt;=MAX($D$4:$D$8),CJ179+3,CJ179))</f>
        <v>#VALUE!</v>
      </c>
      <c r="CK182" s="1" t="e">
        <f t="shared" si="137"/>
        <v>#VALUE!</v>
      </c>
      <c r="CL182" s="8" t="str">
        <f t="shared" si="152"/>
        <v/>
      </c>
      <c r="CN182" s="71" t="e">
        <f t="shared" si="143"/>
        <v>#VALUE!</v>
      </c>
      <c r="CO182" s="71" t="str">
        <f>IF(OR(COUNTBLANK(CR182)=1,ISERROR(CR182)),"",COUNT($CR$4:CR182))</f>
        <v/>
      </c>
      <c r="CP182" s="7" t="e">
        <f t="shared" si="144"/>
        <v>#VALUE!</v>
      </c>
      <c r="CQ182" s="1" t="str">
        <f t="shared" si="145"/>
        <v/>
      </c>
      <c r="CR182" s="79" t="e">
        <f>IF(IF(COUNTIF($CR$4:CR181,CR178)&gt;=MAX($D$4:$D$8),CR178+4,CR178)&gt;55,"",IF(COUNTIF($CR$4:CR181,CR178)&gt;=MAX($D$4:$D$8),CR178+4,CR178))</f>
        <v>#VALUE!</v>
      </c>
      <c r="CS182" s="1" t="e">
        <f t="shared" si="138"/>
        <v>#VALUE!</v>
      </c>
      <c r="CT182" s="8" t="str">
        <f t="shared" si="146"/>
        <v/>
      </c>
      <c r="CV182" s="71" t="e">
        <f t="shared" si="153"/>
        <v>#VALUE!</v>
      </c>
      <c r="CW182" s="71" t="str">
        <f>IF(OR(COUNTBLANK(CZ182)=1,ISERROR(CZ182)),"",COUNT($CZ$4:CZ182))</f>
        <v/>
      </c>
      <c r="CX182" s="7" t="e">
        <f t="shared" si="154"/>
        <v>#VALUE!</v>
      </c>
      <c r="CY182" s="1" t="str">
        <f t="shared" si="155"/>
        <v/>
      </c>
      <c r="CZ182" s="79" t="e">
        <f>IF(IF(COUNTIF($CZ$4:CZ181,CZ177)&gt;=MAX($D$4:$D$8),CZ177+5,CZ177)&gt;55,"",IF(COUNTIF($CZ$4:CZ181,CZ177)&gt;=MAX($D$4:$D$8),CZ177+5,CZ177))</f>
        <v>#VALUE!</v>
      </c>
      <c r="DA182" s="1" t="e">
        <f t="shared" si="139"/>
        <v>#VALUE!</v>
      </c>
      <c r="DB182" s="8" t="str">
        <f t="shared" si="156"/>
        <v/>
      </c>
    </row>
    <row r="183" spans="5:106" x14ac:dyDescent="0.15">
      <c r="E183" s="1">
        <v>180</v>
      </c>
      <c r="F183" s="1">
        <f t="shared" si="140"/>
        <v>1</v>
      </c>
      <c r="G183" s="1">
        <f t="shared" si="147"/>
        <v>1</v>
      </c>
      <c r="H183" s="1">
        <f t="shared" si="141"/>
        <v>1</v>
      </c>
      <c r="I183" s="1">
        <f t="shared" si="142"/>
        <v>1</v>
      </c>
      <c r="J183" s="1">
        <f t="shared" si="148"/>
        <v>1</v>
      </c>
      <c r="L183" s="1" t="str">
        <f>IF(ISERROR(HLOOKUP($C$10,$F$3:$J$253,181,0)),"",HLOOKUP($C$10,$F$3:$J$253,181,0))</f>
        <v/>
      </c>
      <c r="N183" s="67"/>
      <c r="W183" s="71" t="e">
        <f>IF(AA183="","",AA183*10+5)</f>
        <v>#VALUE!</v>
      </c>
      <c r="X183" s="71" t="str">
        <f>IF(OR(COUNTBLANK(AA183)=1,ISERROR(AA183)),"",COUNT(AA4:AA183))</f>
        <v/>
      </c>
      <c r="Y183" s="7" t="e">
        <f t="shared" si="113"/>
        <v>#VALUE!</v>
      </c>
      <c r="Z183" s="1" t="str">
        <f t="shared" si="127"/>
        <v/>
      </c>
      <c r="AA183" s="79" t="e">
        <f>IF(IF(COUNTIF(AA4:AA182,AA182)&gt;=MAX(D4:D8),AA182+1,AA182)&gt;50,"",IF(COUNTIF(AA4:AA182,AA182)&gt;=MAX(D4:D8),AA182+1,AA182))</f>
        <v>#VALUE!</v>
      </c>
      <c r="AB183" s="1" t="e">
        <f>IF(AA183="","",VLOOKUP(AA183,S4:U53,3,0))</f>
        <v>#VALUE!</v>
      </c>
      <c r="AC183" s="8" t="str">
        <f t="shared" si="114"/>
        <v/>
      </c>
      <c r="AE183" s="71" t="e">
        <f t="shared" si="115"/>
        <v>#VALUE!</v>
      </c>
      <c r="AF183" s="71" t="str">
        <f>IF(OR(COUNTBLANK(AI183)=1,ISERROR(AI183)),"",COUNT(AI4:AI183))</f>
        <v/>
      </c>
      <c r="AG183" s="7" t="e">
        <f t="shared" si="116"/>
        <v>#VALUE!</v>
      </c>
      <c r="AH183" s="1" t="str">
        <f>IF(ISERROR(INDEX(C4:C8,MATCH(G183,D4:D8,0))),"",INDEX(C4:C8,MATCH(G183,D4:D8,0)))</f>
        <v/>
      </c>
      <c r="AI183" s="79" t="e">
        <f>IF(IF(COUNTIF(AI4:AI181,AI181)&gt;=MAX(D4:D8),AI181+2,AI181)&gt;50,"",IF(COUNTIF(AI4:AI181,AI181)&gt;=MAX(D4:D8),AI181+2,AI181))</f>
        <v>#VALUE!</v>
      </c>
      <c r="AJ183" s="1" t="e">
        <f>IF(AI183="","",VLOOKUP(AI183,S4:U53,3,0))</f>
        <v>#VALUE!</v>
      </c>
      <c r="AK183" s="8" t="str">
        <f t="shared" si="117"/>
        <v/>
      </c>
      <c r="AM183" s="71" t="e">
        <f t="shared" si="118"/>
        <v>#VALUE!</v>
      </c>
      <c r="AN183" s="71" t="str">
        <f>IF(OR(COUNTBLANK(AQ183)=1,ISERROR(AQ183)),"",COUNT(AQ4:AQ183))</f>
        <v/>
      </c>
      <c r="AO183" s="7" t="e">
        <f t="shared" si="119"/>
        <v>#VALUE!</v>
      </c>
      <c r="AP183" s="1" t="str">
        <f>IF(ISERROR(INDEX(C4:C8,MATCH(H183,D4:D8,0))),"",INDEX(C4:C8,MATCH(H183,D4:D8,0)))</f>
        <v/>
      </c>
      <c r="AQ183" s="79" t="e">
        <f>IF(IF(COUNTIF(AQ4:AQ182,AQ180)&gt;=MAX(D4:D8),AQ180+3,AQ180)&gt;50,"",IF(COUNTIF(AQ4:AQ182,AQ180)&gt;=MAX(D4:D8),AQ180+3,AQ180))</f>
        <v>#VALUE!</v>
      </c>
      <c r="AR183" s="1" t="e">
        <f>IF(AQ183="","",VLOOKUP(AQ183,S4:U53,3,0))</f>
        <v>#VALUE!</v>
      </c>
      <c r="AS183" s="8" t="str">
        <f t="shared" si="120"/>
        <v/>
      </c>
      <c r="AU183" s="71" t="e">
        <f t="shared" si="121"/>
        <v>#VALUE!</v>
      </c>
      <c r="AV183" s="71" t="str">
        <f>IF(OR(COUNTBLANK(AY183)=1,ISERROR(AY183)),"",COUNT(AY4:AY183))</f>
        <v/>
      </c>
      <c r="AW183" s="7" t="e">
        <f t="shared" si="122"/>
        <v>#VALUE!</v>
      </c>
      <c r="AX183" s="1" t="str">
        <f>IF(ISERROR(INDEX(C4:C8,MATCH(I183,D4:D8,0))),"",INDEX(C4:C8,MATCH(I183,D4:D8,0)))</f>
        <v/>
      </c>
      <c r="AY183" s="79" t="e">
        <f>IF(IF(COUNTIF(AY4:AY182,AY179)&gt;=MAX(D4:D8),AY179+4,AY179)&gt;50,"",IF(COUNTIF(AY4:AY182,AY179)&gt;=MAX(D4:D8),AY179+4,AY179))</f>
        <v>#VALUE!</v>
      </c>
      <c r="AZ183" s="76" t="e">
        <f>IF(AY183="","",VLOOKUP(AY183,S4:U53,3,0))</f>
        <v>#VALUE!</v>
      </c>
      <c r="BA183" s="8" t="str">
        <f t="shared" si="123"/>
        <v/>
      </c>
      <c r="BC183" s="71" t="e">
        <f t="shared" si="124"/>
        <v>#VALUE!</v>
      </c>
      <c r="BD183" s="71" t="str">
        <f>IF(OR(COUNTBLANK(BG183)=1,ISERROR(BG183)),"",COUNT(BG4:BG183))</f>
        <v/>
      </c>
      <c r="BE183" s="7" t="e">
        <f t="shared" si="125"/>
        <v>#VALUE!</v>
      </c>
      <c r="BF183" s="1" t="str">
        <f>IF(ISERROR(INDEX(C4:C8,MATCH(J183,D4:D8,0))),"",INDEX(C4:C8,MATCH(J183,D4:D8,0)))</f>
        <v/>
      </c>
      <c r="BG183" s="79" t="e">
        <f>IF(IF(COUNTIF(BG4:BG182,BG178)&gt;=MAX(D4:D8),BG178+5,BG178)&gt;50,"",IF(COUNTIF(BG4:BG182,BG178)&gt;=MAX(D4:D8),BG178+5,BG178))</f>
        <v>#VALUE!</v>
      </c>
      <c r="BH183" s="76" t="e">
        <f>IF(BG183="","",VLOOKUP(BG183,S4:U53,3,0))</f>
        <v>#VALUE!</v>
      </c>
      <c r="BI183" s="8" t="str">
        <f t="shared" si="126"/>
        <v/>
      </c>
      <c r="BP183" s="71" t="e">
        <f>IF(BT183="","",BT183*10+5)</f>
        <v>#VALUE!</v>
      </c>
      <c r="BQ183" s="71" t="str">
        <f>IF(OR(COUNTBLANK(BT183)=1,ISERROR(BT183)),"",COUNT(BT4:BT183))</f>
        <v/>
      </c>
      <c r="BR183" s="7" t="e">
        <f t="shared" si="128"/>
        <v>#VALUE!</v>
      </c>
      <c r="BS183" s="1" t="str">
        <f t="shared" si="129"/>
        <v/>
      </c>
      <c r="BT183" s="79" t="e">
        <f>IF(IF(COUNTIF($BT$4:BT182,BT182)&gt;=MAX($D$4:$D$8),BT182+1,BT182)&gt;55,"",IF(COUNTIF($BT$4:BT182,BT182)&gt;=MAX($D$4:$D$8),BT182+1,BT182))</f>
        <v>#VALUE!</v>
      </c>
      <c r="BU183" s="1" t="e">
        <f t="shared" si="130"/>
        <v>#VALUE!</v>
      </c>
      <c r="BV183" s="8" t="str">
        <f t="shared" si="131"/>
        <v/>
      </c>
      <c r="BX183" s="71" t="e">
        <f t="shared" si="132"/>
        <v>#VALUE!</v>
      </c>
      <c r="BY183" s="71" t="str">
        <f>IF(OR(COUNTBLANK(CB183)=1,ISERROR(CB183)),"",COUNT($CB$4:CB183))</f>
        <v/>
      </c>
      <c r="BZ183" s="7" t="e">
        <f t="shared" si="133"/>
        <v>#VALUE!</v>
      </c>
      <c r="CA183" s="1" t="str">
        <f t="shared" si="134"/>
        <v/>
      </c>
      <c r="CB183" s="79" t="e">
        <f>IF(IF(COUNTIF($CB$4:CB182,CB181)&gt;=MAX($D$4:$D$8),CB181+2,CB181)&gt;55,"",IF(COUNTIF($CB$4:CB182,CB181)&gt;=MAX($D$4:$D$8),CB181+2,CB181))</f>
        <v>#VALUE!</v>
      </c>
      <c r="CC183" s="1" t="e">
        <f t="shared" si="135"/>
        <v>#VALUE!</v>
      </c>
      <c r="CD183" s="8" t="str">
        <f t="shared" si="136"/>
        <v/>
      </c>
      <c r="CF183" s="71" t="e">
        <f t="shared" si="149"/>
        <v>#VALUE!</v>
      </c>
      <c r="CG183" s="71" t="str">
        <f>IF(OR(COUNTBLANK(CJ183)=1,ISERROR(CJ183)),"",COUNT($CJ$4:CJ183))</f>
        <v/>
      </c>
      <c r="CH183" s="7" t="e">
        <f t="shared" si="150"/>
        <v>#VALUE!</v>
      </c>
      <c r="CI183" s="1" t="str">
        <f t="shared" si="151"/>
        <v/>
      </c>
      <c r="CJ183" s="79" t="e">
        <f>IF(IF(COUNTIF($CJ$4:CJ182,CJ180)&gt;=MAX($D$4:$D$8),CJ180+3,CJ180)&gt;55,"",IF(COUNTIF($CJ$4:CJ182,CJ180)&gt;=MAX($D$4:$D$8),CJ180+3,CJ180))</f>
        <v>#VALUE!</v>
      </c>
      <c r="CK183" s="1" t="e">
        <f t="shared" si="137"/>
        <v>#VALUE!</v>
      </c>
      <c r="CL183" s="8" t="str">
        <f t="shared" si="152"/>
        <v/>
      </c>
      <c r="CN183" s="71" t="e">
        <f t="shared" si="143"/>
        <v>#VALUE!</v>
      </c>
      <c r="CO183" s="71" t="str">
        <f>IF(OR(COUNTBLANK(CR183)=1,ISERROR(CR183)),"",COUNT($CR$4:CR183))</f>
        <v/>
      </c>
      <c r="CP183" s="7" t="e">
        <f t="shared" si="144"/>
        <v>#VALUE!</v>
      </c>
      <c r="CQ183" s="1" t="str">
        <f t="shared" si="145"/>
        <v/>
      </c>
      <c r="CR183" s="79" t="e">
        <f>IF(IF(COUNTIF($CR$4:CR182,CR179)&gt;=MAX($D$4:$D$8),CR179+4,CR179)&gt;55,"",IF(COUNTIF($CR$4:CR182,CR179)&gt;=MAX($D$4:$D$8),CR179+4,CR179))</f>
        <v>#VALUE!</v>
      </c>
      <c r="CS183" s="1" t="e">
        <f t="shared" si="138"/>
        <v>#VALUE!</v>
      </c>
      <c r="CT183" s="8" t="str">
        <f t="shared" si="146"/>
        <v/>
      </c>
      <c r="CV183" s="71" t="e">
        <f t="shared" si="153"/>
        <v>#VALUE!</v>
      </c>
      <c r="CW183" s="71" t="str">
        <f>IF(OR(COUNTBLANK(CZ183)=1,ISERROR(CZ183)),"",COUNT($CZ$4:CZ183))</f>
        <v/>
      </c>
      <c r="CX183" s="7" t="e">
        <f t="shared" si="154"/>
        <v>#VALUE!</v>
      </c>
      <c r="CY183" s="1" t="str">
        <f t="shared" si="155"/>
        <v/>
      </c>
      <c r="CZ183" s="79" t="e">
        <f>IF(IF(COUNTIF($CZ$4:CZ182,CZ178)&gt;=MAX($D$4:$D$8),CZ178+5,CZ178)&gt;55,"",IF(COUNTIF($CZ$4:CZ182,CZ178)&gt;=MAX($D$4:$D$8),CZ178+5,CZ178))</f>
        <v>#VALUE!</v>
      </c>
      <c r="DA183" s="1" t="e">
        <f t="shared" si="139"/>
        <v>#VALUE!</v>
      </c>
      <c r="DB183" s="8" t="str">
        <f t="shared" si="156"/>
        <v/>
      </c>
    </row>
    <row r="184" spans="5:106" x14ac:dyDescent="0.15">
      <c r="E184" s="1">
        <v>181</v>
      </c>
      <c r="F184" s="1">
        <f t="shared" si="140"/>
        <v>1</v>
      </c>
      <c r="G184" s="1">
        <f t="shared" si="147"/>
        <v>1</v>
      </c>
      <c r="H184" s="1">
        <f t="shared" si="141"/>
        <v>1</v>
      </c>
      <c r="I184" s="1">
        <f t="shared" si="142"/>
        <v>1</v>
      </c>
      <c r="J184" s="1">
        <f t="shared" si="148"/>
        <v>1</v>
      </c>
      <c r="L184" s="1" t="str">
        <f>IF(ISERROR(HLOOKUP($C$10,$F$3:$J$253,182,0)),"",HLOOKUP($C$10,$F$3:$J$253,182,0))</f>
        <v/>
      </c>
      <c r="N184" s="67"/>
      <c r="W184" s="71" t="e">
        <f>IF(AA184="","",AA184*10+1)</f>
        <v>#VALUE!</v>
      </c>
      <c r="X184" s="71" t="str">
        <f>IF(OR(COUNTBLANK(AA184)=1,ISERROR(AA184)),"",COUNT(AA4:AA184))</f>
        <v/>
      </c>
      <c r="Y184" s="7" t="e">
        <f t="shared" si="113"/>
        <v>#VALUE!</v>
      </c>
      <c r="Z184" s="1" t="str">
        <f t="shared" si="127"/>
        <v/>
      </c>
      <c r="AA184" s="79" t="e">
        <f>IF(IF(COUNTIF(AA4:AA183,AA183)&gt;=MAX(D4:D8),AA183+1,AA183)&gt;50,"",IF(COUNTIF(AA4:AA183,AA183)&gt;=MAX(D4:D8),AA183+1,AA183))</f>
        <v>#VALUE!</v>
      </c>
      <c r="AB184" s="1" t="e">
        <f>IF(AA184="","",VLOOKUP(AA184,S4:U53,3,0))</f>
        <v>#VALUE!</v>
      </c>
      <c r="AC184" s="8" t="str">
        <f t="shared" si="114"/>
        <v/>
      </c>
      <c r="AE184" s="71" t="e">
        <f t="shared" si="115"/>
        <v>#VALUE!</v>
      </c>
      <c r="AF184" s="71" t="str">
        <f>IF(OR(COUNTBLANK(AI184)=1,ISERROR(AI184)),"",COUNT(AI4:AI184))</f>
        <v/>
      </c>
      <c r="AG184" s="7" t="e">
        <f t="shared" si="116"/>
        <v>#VALUE!</v>
      </c>
      <c r="AH184" s="1" t="str">
        <f>IF(ISERROR(INDEX(C4:C8,MATCH(G184,D4:D8,0))),"",INDEX(C4:C8,MATCH(G184,D4:D8,0)))</f>
        <v/>
      </c>
      <c r="AI184" s="79" t="e">
        <f>IF(IF(COUNTIF(AI4:AI183,AI182)&gt;=MAX(D4:D8),AI182+2,AI182)&gt;50,"",IF(COUNTIF(AI4:AI183,AI182)&gt;=MAX(D4:D8),AI182+2,AI182))</f>
        <v>#VALUE!</v>
      </c>
      <c r="AJ184" s="1" t="e">
        <f>IF(AI184="","",VLOOKUP(AI184,S4:U53,3,0))</f>
        <v>#VALUE!</v>
      </c>
      <c r="AK184" s="8" t="str">
        <f t="shared" si="117"/>
        <v/>
      </c>
      <c r="AM184" s="71" t="e">
        <f t="shared" si="118"/>
        <v>#VALUE!</v>
      </c>
      <c r="AN184" s="71" t="str">
        <f>IF(OR(COUNTBLANK(AQ184)=1,ISERROR(AQ184)),"",COUNT(AQ4:AQ184))</f>
        <v/>
      </c>
      <c r="AO184" s="7" t="e">
        <f t="shared" si="119"/>
        <v>#VALUE!</v>
      </c>
      <c r="AP184" s="1" t="str">
        <f>IF(ISERROR(INDEX(C4:C8,MATCH(H184,D4:D8,0))),"",INDEX(C4:C8,MATCH(H184,D4:D8,0)))</f>
        <v/>
      </c>
      <c r="AQ184" s="79" t="e">
        <f>IF(IF(COUNTIF(AQ4:AQ183,AQ181)&gt;=MAX(D4:D8),AQ181+3,AQ181)&gt;50,"",IF(COUNTIF(AQ4:AQ183,AQ181)&gt;=MAX(D4:D8),AQ181+3,AQ181))</f>
        <v>#VALUE!</v>
      </c>
      <c r="AR184" s="1" t="e">
        <f>IF(AQ184="","",VLOOKUP(AQ184,S4:U53,3,0))</f>
        <v>#VALUE!</v>
      </c>
      <c r="AS184" s="8" t="str">
        <f t="shared" si="120"/>
        <v/>
      </c>
      <c r="AU184" s="71" t="e">
        <f t="shared" si="121"/>
        <v>#VALUE!</v>
      </c>
      <c r="AV184" s="71" t="str">
        <f>IF(OR(COUNTBLANK(AY184)=1,ISERROR(AY184)),"",COUNT(AY4:AY184))</f>
        <v/>
      </c>
      <c r="AW184" s="7" t="e">
        <f t="shared" si="122"/>
        <v>#VALUE!</v>
      </c>
      <c r="AX184" s="1" t="str">
        <f>IF(ISERROR(INDEX(C4:C8,MATCH(I184,D4:D8,0))),"",INDEX(C4:C8,MATCH(I184,D4:D8,0)))</f>
        <v/>
      </c>
      <c r="AY184" s="79" t="e">
        <f>IF(IF(COUNTIF(AY4:AY183,AY180)&gt;=MAX(D4:D8),AY180+4,AY180)&gt;50,"",IF(COUNTIF(AY4:AY183,AY180)&gt;=MAX(D4:D8),AY180+4,AY180))</f>
        <v>#VALUE!</v>
      </c>
      <c r="AZ184" s="76" t="e">
        <f>IF(AY184="","",VLOOKUP(AY184,S4:U53,3,0))</f>
        <v>#VALUE!</v>
      </c>
      <c r="BA184" s="8" t="str">
        <f t="shared" si="123"/>
        <v/>
      </c>
      <c r="BC184" s="71" t="e">
        <f t="shared" si="124"/>
        <v>#VALUE!</v>
      </c>
      <c r="BD184" s="71" t="str">
        <f>IF(OR(COUNTBLANK(BG184)=1,ISERROR(BG184)),"",COUNT(BG4:BG184))</f>
        <v/>
      </c>
      <c r="BE184" s="7" t="e">
        <f t="shared" si="125"/>
        <v>#VALUE!</v>
      </c>
      <c r="BF184" s="1" t="str">
        <f>IF(ISERROR(INDEX(C4:C8,MATCH(J184,D4:D8,0))),"",INDEX(C4:C8,MATCH(J184,D4:D8,0)))</f>
        <v/>
      </c>
      <c r="BG184" s="79" t="e">
        <f>IF(IF(COUNTIF(BG4:BG183,BG179)&gt;=MAX(D4:D8),BG179+5,BG179)&gt;50,"",IF(COUNTIF(BG4:BG183,BG179)&gt;=MAX(D4:D8),BG179+5,BG179))</f>
        <v>#VALUE!</v>
      </c>
      <c r="BH184" s="76" t="e">
        <f>IF(BG184="","",VLOOKUP(BG184,S4:U53,3,0))</f>
        <v>#VALUE!</v>
      </c>
      <c r="BI184" s="8" t="str">
        <f t="shared" si="126"/>
        <v/>
      </c>
      <c r="BP184" s="71" t="e">
        <f>IF(BT184="","",BT184*10+1)</f>
        <v>#VALUE!</v>
      </c>
      <c r="BQ184" s="71" t="str">
        <f>IF(OR(COUNTBLANK(BT184)=1,ISERROR(BT184)),"",COUNT(BT4:BT184))</f>
        <v/>
      </c>
      <c r="BR184" s="7" t="e">
        <f t="shared" si="128"/>
        <v>#VALUE!</v>
      </c>
      <c r="BS184" s="1" t="str">
        <f t="shared" si="129"/>
        <v/>
      </c>
      <c r="BT184" s="79" t="e">
        <f>IF(IF(COUNTIF($BT$4:BT183,BT183)&gt;=MAX($D$4:$D$8),BT183+1,BT183)&gt;55,"",IF(COUNTIF($BT$4:BT183,BT183)&gt;=MAX($D$4:$D$8),BT183+1,BT183))</f>
        <v>#VALUE!</v>
      </c>
      <c r="BU184" s="1" t="e">
        <f t="shared" si="130"/>
        <v>#VALUE!</v>
      </c>
      <c r="BV184" s="8" t="str">
        <f t="shared" si="131"/>
        <v/>
      </c>
      <c r="BX184" s="71" t="e">
        <f t="shared" si="132"/>
        <v>#VALUE!</v>
      </c>
      <c r="BY184" s="71" t="str">
        <f>IF(OR(COUNTBLANK(CB184)=1,ISERROR(CB184)),"",COUNT($CB$4:CB184))</f>
        <v/>
      </c>
      <c r="BZ184" s="7" t="e">
        <f t="shared" si="133"/>
        <v>#VALUE!</v>
      </c>
      <c r="CA184" s="1" t="str">
        <f t="shared" si="134"/>
        <v/>
      </c>
      <c r="CB184" s="79" t="e">
        <f>IF(IF(COUNTIF($CB$4:CB183,CB182)&gt;=MAX($D$4:$D$8),CB182+2,CB182)&gt;55,"",IF(COUNTIF($CB$4:CB183,CB182)&gt;=MAX($D$4:$D$8),CB182+2,CB182))</f>
        <v>#VALUE!</v>
      </c>
      <c r="CC184" s="1" t="e">
        <f t="shared" si="135"/>
        <v>#VALUE!</v>
      </c>
      <c r="CD184" s="8" t="str">
        <f t="shared" si="136"/>
        <v/>
      </c>
      <c r="CF184" s="71" t="e">
        <f t="shared" si="149"/>
        <v>#VALUE!</v>
      </c>
      <c r="CG184" s="71" t="str">
        <f>IF(OR(COUNTBLANK(CJ184)=1,ISERROR(CJ184)),"",COUNT($CJ$4:CJ184))</f>
        <v/>
      </c>
      <c r="CH184" s="7" t="e">
        <f t="shared" si="150"/>
        <v>#VALUE!</v>
      </c>
      <c r="CI184" s="1" t="str">
        <f t="shared" si="151"/>
        <v/>
      </c>
      <c r="CJ184" s="79" t="e">
        <f>IF(IF(COUNTIF($CJ$4:CJ183,CJ181)&gt;=MAX($D$4:$D$8),CJ181+3,CJ181)&gt;55,"",IF(COUNTIF($CJ$4:CJ183,CJ181)&gt;=MAX($D$4:$D$8),CJ181+3,CJ181))</f>
        <v>#VALUE!</v>
      </c>
      <c r="CK184" s="1" t="e">
        <f t="shared" si="137"/>
        <v>#VALUE!</v>
      </c>
      <c r="CL184" s="8" t="str">
        <f t="shared" si="152"/>
        <v/>
      </c>
      <c r="CN184" s="71" t="e">
        <f t="shared" si="143"/>
        <v>#VALUE!</v>
      </c>
      <c r="CO184" s="71" t="str">
        <f>IF(OR(COUNTBLANK(CR184)=1,ISERROR(CR184)),"",COUNT($CR$4:CR184))</f>
        <v/>
      </c>
      <c r="CP184" s="7" t="e">
        <f t="shared" si="144"/>
        <v>#VALUE!</v>
      </c>
      <c r="CQ184" s="1" t="str">
        <f t="shared" si="145"/>
        <v/>
      </c>
      <c r="CR184" s="79" t="e">
        <f>IF(IF(COUNTIF($CR$4:CR183,CR180)&gt;=MAX($D$4:$D$8),CR180+4,CR180)&gt;55,"",IF(COUNTIF($CR$4:CR183,CR180)&gt;=MAX($D$4:$D$8),CR180+4,CR180))</f>
        <v>#VALUE!</v>
      </c>
      <c r="CS184" s="1" t="e">
        <f t="shared" si="138"/>
        <v>#VALUE!</v>
      </c>
      <c r="CT184" s="8" t="str">
        <f t="shared" si="146"/>
        <v/>
      </c>
      <c r="CV184" s="71" t="e">
        <f t="shared" si="153"/>
        <v>#VALUE!</v>
      </c>
      <c r="CW184" s="71" t="str">
        <f>IF(OR(COUNTBLANK(CZ184)=1,ISERROR(CZ184)),"",COUNT($CZ$4:CZ184))</f>
        <v/>
      </c>
      <c r="CX184" s="7" t="e">
        <f t="shared" si="154"/>
        <v>#VALUE!</v>
      </c>
      <c r="CY184" s="1" t="str">
        <f t="shared" si="155"/>
        <v/>
      </c>
      <c r="CZ184" s="79" t="e">
        <f>IF(IF(COUNTIF($CZ$4:CZ183,CZ179)&gt;=MAX($D$4:$D$8),CZ179+5,CZ179)&gt;55,"",IF(COUNTIF($CZ$4:CZ183,CZ179)&gt;=MAX($D$4:$D$8),CZ179+5,CZ179))</f>
        <v>#VALUE!</v>
      </c>
      <c r="DA184" s="1" t="e">
        <f t="shared" si="139"/>
        <v>#VALUE!</v>
      </c>
      <c r="DB184" s="8" t="str">
        <f t="shared" si="156"/>
        <v/>
      </c>
    </row>
    <row r="185" spans="5:106" x14ac:dyDescent="0.15">
      <c r="E185" s="1">
        <v>182</v>
      </c>
      <c r="F185" s="1">
        <f t="shared" si="140"/>
        <v>1</v>
      </c>
      <c r="G185" s="1">
        <f t="shared" si="147"/>
        <v>1</v>
      </c>
      <c r="H185" s="1">
        <f t="shared" si="141"/>
        <v>1</v>
      </c>
      <c r="I185" s="1">
        <f t="shared" si="142"/>
        <v>1</v>
      </c>
      <c r="J185" s="1">
        <f t="shared" si="148"/>
        <v>1</v>
      </c>
      <c r="L185" s="1" t="str">
        <f>IF(ISERROR(HLOOKUP($C$10,$F$3:$J$253,183,0)),"",HLOOKUP($C$10,$F$3:$J$253,183,0))</f>
        <v/>
      </c>
      <c r="N185" s="67"/>
      <c r="W185" s="71" t="e">
        <f>IF(AA185="","",AA185*10+2)</f>
        <v>#VALUE!</v>
      </c>
      <c r="X185" s="71" t="str">
        <f>IF(OR(COUNTBLANK(AA185)=1,ISERROR(AA185)),"",COUNT(AA4:AA185))</f>
        <v/>
      </c>
      <c r="Y185" s="7" t="e">
        <f t="shared" si="113"/>
        <v>#VALUE!</v>
      </c>
      <c r="Z185" s="1" t="str">
        <f t="shared" si="127"/>
        <v/>
      </c>
      <c r="AA185" s="79" t="e">
        <f>IF(IF(COUNTIF(AA4:AA184,AA184)&gt;=MAX(D4:D8),AA184+1,AA184)&gt;50,"",IF(COUNTIF(AA4:AA184,AA184)&gt;=MAX(D4:D8),AA184+1,AA184))</f>
        <v>#VALUE!</v>
      </c>
      <c r="AB185" s="1" t="e">
        <f>IF(AA185="","",VLOOKUP(AA185,S4:U53,3,0))</f>
        <v>#VALUE!</v>
      </c>
      <c r="AC185" s="8" t="str">
        <f t="shared" si="114"/>
        <v/>
      </c>
      <c r="AE185" s="71" t="e">
        <f t="shared" si="115"/>
        <v>#VALUE!</v>
      </c>
      <c r="AF185" s="71" t="str">
        <f>IF(OR(COUNTBLANK(AI185)=1,ISERROR(AI185)),"",COUNT(AI4:AI185))</f>
        <v/>
      </c>
      <c r="AG185" s="7" t="e">
        <f t="shared" si="116"/>
        <v>#VALUE!</v>
      </c>
      <c r="AH185" s="1" t="str">
        <f>IF(ISERROR(INDEX(C4:C8,MATCH(G185,D4:D8,0))),"",INDEX(C4:C8,MATCH(G185,D4:D8,0)))</f>
        <v/>
      </c>
      <c r="AI185" s="79" t="e">
        <f>IF(IF(COUNTIF(AI4:AI183,AI183)&gt;=MAX(D4:D8),AI183+2,AI183)&gt;50,"",IF(COUNTIF(AI4:AI183,AI183)&gt;=MAX(D4:D8),AI183+2,AI183))</f>
        <v>#VALUE!</v>
      </c>
      <c r="AJ185" s="1" t="e">
        <f>IF(AI185="","",VLOOKUP(AI185,S4:U53,3,0))</f>
        <v>#VALUE!</v>
      </c>
      <c r="AK185" s="8" t="str">
        <f t="shared" si="117"/>
        <v/>
      </c>
      <c r="AM185" s="71" t="e">
        <f t="shared" si="118"/>
        <v>#VALUE!</v>
      </c>
      <c r="AN185" s="71" t="str">
        <f>IF(OR(COUNTBLANK(AQ185)=1,ISERROR(AQ185)),"",COUNT(AQ4:AQ185))</f>
        <v/>
      </c>
      <c r="AO185" s="7" t="e">
        <f t="shared" si="119"/>
        <v>#VALUE!</v>
      </c>
      <c r="AP185" s="1" t="str">
        <f>IF(ISERROR(INDEX(C4:C8,MATCH(H185,D4:D8,0))),"",INDEX(C4:C8,MATCH(H185,D4:D8,0)))</f>
        <v/>
      </c>
      <c r="AQ185" s="79" t="e">
        <f>IF(IF(COUNTIF(AQ4:AQ184,AQ182)&gt;=MAX(D4:D8),AQ182+3,AQ182)&gt;50,"",IF(COUNTIF(AQ4:AQ184,AQ182)&gt;=MAX(D4:D8),AQ182+3,AQ182))</f>
        <v>#VALUE!</v>
      </c>
      <c r="AR185" s="1" t="e">
        <f>IF(AQ185="","",VLOOKUP(AQ185,S4:U53,3,0))</f>
        <v>#VALUE!</v>
      </c>
      <c r="AS185" s="8" t="str">
        <f t="shared" si="120"/>
        <v/>
      </c>
      <c r="AU185" s="71" t="e">
        <f t="shared" si="121"/>
        <v>#VALUE!</v>
      </c>
      <c r="AV185" s="71" t="str">
        <f>IF(OR(COUNTBLANK(AY185)=1,ISERROR(AY185)),"",COUNT(AY4:AY185))</f>
        <v/>
      </c>
      <c r="AW185" s="7" t="e">
        <f t="shared" si="122"/>
        <v>#VALUE!</v>
      </c>
      <c r="AX185" s="1" t="str">
        <f>IF(ISERROR(INDEX(C4:C8,MATCH(I185,D4:D8,0))),"",INDEX(C4:C8,MATCH(I185,D4:D8,0)))</f>
        <v/>
      </c>
      <c r="AY185" s="79" t="e">
        <f>IF(IF(COUNTIF(AY4:AY184,AY181)&gt;=MAX(D4:D8),AY181+4,AY181)&gt;50,"",IF(COUNTIF(AY4:AY184,AY181)&gt;=MAX(D4:D8),AY181+4,AY181))</f>
        <v>#VALUE!</v>
      </c>
      <c r="AZ185" s="76" t="e">
        <f>IF(AY185="","",VLOOKUP(AY185,S4:U53,3,0))</f>
        <v>#VALUE!</v>
      </c>
      <c r="BA185" s="8" t="str">
        <f t="shared" si="123"/>
        <v/>
      </c>
      <c r="BC185" s="71" t="e">
        <f t="shared" si="124"/>
        <v>#VALUE!</v>
      </c>
      <c r="BD185" s="71" t="str">
        <f>IF(OR(COUNTBLANK(BG185)=1,ISERROR(BG185)),"",COUNT(BG4:BG185))</f>
        <v/>
      </c>
      <c r="BE185" s="7" t="e">
        <f t="shared" si="125"/>
        <v>#VALUE!</v>
      </c>
      <c r="BF185" s="1" t="str">
        <f>IF(ISERROR(INDEX(C4:C8,MATCH(J185,D4:D8,0))),"",INDEX(C4:C8,MATCH(J185,D4:D8,0)))</f>
        <v/>
      </c>
      <c r="BG185" s="79" t="e">
        <f>IF(IF(COUNTIF(BG4:BG184,BG180)&gt;=MAX(D4:D8),BG180+5,BG180)&gt;50,"",IF(COUNTIF(BG4:BG184,BG180)&gt;=MAX(D4:D8),BG180+5,BG180))</f>
        <v>#VALUE!</v>
      </c>
      <c r="BH185" s="76" t="e">
        <f>IF(BG185="","",VLOOKUP(BG185,S4:U53,3,0))</f>
        <v>#VALUE!</v>
      </c>
      <c r="BI185" s="8" t="str">
        <f t="shared" si="126"/>
        <v/>
      </c>
      <c r="BP185" s="71" t="e">
        <f>IF(BT185="","",BT185*10+2)</f>
        <v>#VALUE!</v>
      </c>
      <c r="BQ185" s="71" t="str">
        <f>IF(OR(COUNTBLANK(BT185)=1,ISERROR(BT185)),"",COUNT(BT4:BT185))</f>
        <v/>
      </c>
      <c r="BR185" s="7" t="e">
        <f t="shared" si="128"/>
        <v>#VALUE!</v>
      </c>
      <c r="BS185" s="1" t="str">
        <f t="shared" si="129"/>
        <v/>
      </c>
      <c r="BT185" s="79" t="e">
        <f>IF(IF(COUNTIF($BT$4:BT184,BT184)&gt;=MAX($D$4:$D$8),BT184+1,BT184)&gt;55,"",IF(COUNTIF($BT$4:BT184,BT184)&gt;=MAX($D$4:$D$8),BT184+1,BT184))</f>
        <v>#VALUE!</v>
      </c>
      <c r="BU185" s="1" t="e">
        <f t="shared" si="130"/>
        <v>#VALUE!</v>
      </c>
      <c r="BV185" s="8" t="str">
        <f t="shared" si="131"/>
        <v/>
      </c>
      <c r="BX185" s="71" t="e">
        <f t="shared" si="132"/>
        <v>#VALUE!</v>
      </c>
      <c r="BY185" s="71" t="str">
        <f>IF(OR(COUNTBLANK(CB185)=1,ISERROR(CB185)),"",COUNT($CB$4:CB185))</f>
        <v/>
      </c>
      <c r="BZ185" s="7" t="e">
        <f t="shared" si="133"/>
        <v>#VALUE!</v>
      </c>
      <c r="CA185" s="1" t="str">
        <f t="shared" si="134"/>
        <v/>
      </c>
      <c r="CB185" s="79" t="e">
        <f>IF(IF(COUNTIF($CB$4:CB184,CB183)&gt;=MAX($D$4:$D$8),CB183+2,CB183)&gt;55,"",IF(COUNTIF($CB$4:CB184,CB183)&gt;=MAX($D$4:$D$8),CB183+2,CB183))</f>
        <v>#VALUE!</v>
      </c>
      <c r="CC185" s="1" t="e">
        <f t="shared" si="135"/>
        <v>#VALUE!</v>
      </c>
      <c r="CD185" s="8" t="str">
        <f t="shared" si="136"/>
        <v/>
      </c>
      <c r="CF185" s="71" t="e">
        <f t="shared" si="149"/>
        <v>#VALUE!</v>
      </c>
      <c r="CG185" s="71" t="str">
        <f>IF(OR(COUNTBLANK(CJ185)=1,ISERROR(CJ185)),"",COUNT($CJ$4:CJ185))</f>
        <v/>
      </c>
      <c r="CH185" s="7" t="e">
        <f t="shared" si="150"/>
        <v>#VALUE!</v>
      </c>
      <c r="CI185" s="1" t="str">
        <f t="shared" si="151"/>
        <v/>
      </c>
      <c r="CJ185" s="79" t="e">
        <f>IF(IF(COUNTIF($CJ$4:CJ184,CJ182)&gt;=MAX($D$4:$D$8),CJ182+3,CJ182)&gt;55,"",IF(COUNTIF($CJ$4:CJ184,CJ182)&gt;=MAX($D$4:$D$8),CJ182+3,CJ182))</f>
        <v>#VALUE!</v>
      </c>
      <c r="CK185" s="1" t="e">
        <f t="shared" si="137"/>
        <v>#VALUE!</v>
      </c>
      <c r="CL185" s="8" t="str">
        <f t="shared" si="152"/>
        <v/>
      </c>
      <c r="CN185" s="71" t="e">
        <f t="shared" si="143"/>
        <v>#VALUE!</v>
      </c>
      <c r="CO185" s="71" t="str">
        <f>IF(OR(COUNTBLANK(CR185)=1,ISERROR(CR185)),"",COUNT($CR$4:CR185))</f>
        <v/>
      </c>
      <c r="CP185" s="7" t="e">
        <f t="shared" si="144"/>
        <v>#VALUE!</v>
      </c>
      <c r="CQ185" s="1" t="str">
        <f t="shared" si="145"/>
        <v/>
      </c>
      <c r="CR185" s="79" t="e">
        <f>IF(IF(COUNTIF($CR$4:CR184,CR181)&gt;=MAX($D$4:$D$8),CR181+4,CR181)&gt;55,"",IF(COUNTIF($CR$4:CR184,CR181)&gt;=MAX($D$4:$D$8),CR181+4,CR181))</f>
        <v>#VALUE!</v>
      </c>
      <c r="CS185" s="1" t="e">
        <f t="shared" si="138"/>
        <v>#VALUE!</v>
      </c>
      <c r="CT185" s="8" t="str">
        <f t="shared" si="146"/>
        <v/>
      </c>
      <c r="CV185" s="71" t="e">
        <f t="shared" si="153"/>
        <v>#VALUE!</v>
      </c>
      <c r="CW185" s="71" t="str">
        <f>IF(OR(COUNTBLANK(CZ185)=1,ISERROR(CZ185)),"",COUNT($CZ$4:CZ185))</f>
        <v/>
      </c>
      <c r="CX185" s="7" t="e">
        <f t="shared" si="154"/>
        <v>#VALUE!</v>
      </c>
      <c r="CY185" s="1" t="str">
        <f t="shared" si="155"/>
        <v/>
      </c>
      <c r="CZ185" s="79" t="e">
        <f>IF(IF(COUNTIF($CZ$4:CZ184,CZ180)&gt;=MAX($D$4:$D$8),CZ180+5,CZ180)&gt;55,"",IF(COUNTIF($CZ$4:CZ184,CZ180)&gt;=MAX($D$4:$D$8),CZ180+5,CZ180))</f>
        <v>#VALUE!</v>
      </c>
      <c r="DA185" s="1" t="e">
        <f t="shared" si="139"/>
        <v>#VALUE!</v>
      </c>
      <c r="DB185" s="8" t="str">
        <f t="shared" si="156"/>
        <v/>
      </c>
    </row>
    <row r="186" spans="5:106" x14ac:dyDescent="0.15">
      <c r="E186" s="1">
        <v>183</v>
      </c>
      <c r="F186" s="1">
        <f t="shared" si="140"/>
        <v>1</v>
      </c>
      <c r="G186" s="1">
        <f t="shared" si="147"/>
        <v>1</v>
      </c>
      <c r="H186" s="1">
        <f t="shared" si="141"/>
        <v>1</v>
      </c>
      <c r="I186" s="1">
        <f t="shared" si="142"/>
        <v>1</v>
      </c>
      <c r="J186" s="1">
        <f t="shared" si="148"/>
        <v>1</v>
      </c>
      <c r="L186" s="1" t="str">
        <f>IF(ISERROR(HLOOKUP($C$10,$F$3:$J$253,184,0)),"",HLOOKUP($C$10,$F$3:$J$253,184,0))</f>
        <v/>
      </c>
      <c r="N186" s="67"/>
      <c r="W186" s="71" t="e">
        <f>IF(AA186="","",AA186*10+3)</f>
        <v>#VALUE!</v>
      </c>
      <c r="X186" s="71" t="str">
        <f>IF(OR(COUNTBLANK(AA186)=1,ISERROR(AA186)),"",COUNT(AA4:AA186))</f>
        <v/>
      </c>
      <c r="Y186" s="7" t="e">
        <f t="shared" si="113"/>
        <v>#VALUE!</v>
      </c>
      <c r="Z186" s="1" t="str">
        <f t="shared" si="127"/>
        <v/>
      </c>
      <c r="AA186" s="79" t="e">
        <f>IF(IF(COUNTIF(AA4:AA185,AA185)&gt;=MAX(D4:D8),AA185+1,AA185)&gt;50,"",IF(COUNTIF(AA4:AA185,AA185)&gt;=MAX(D4:D8),AA185+1,AA185))</f>
        <v>#VALUE!</v>
      </c>
      <c r="AB186" s="1" t="e">
        <f>IF(AA186="","",VLOOKUP(AA186,S4:U53,3,0))</f>
        <v>#VALUE!</v>
      </c>
      <c r="AC186" s="8" t="str">
        <f t="shared" si="114"/>
        <v/>
      </c>
      <c r="AE186" s="71" t="e">
        <f t="shared" si="115"/>
        <v>#VALUE!</v>
      </c>
      <c r="AF186" s="71" t="str">
        <f>IF(OR(COUNTBLANK(AI186)=1,ISERROR(AI186)),"",COUNT(AI4:AI186))</f>
        <v/>
      </c>
      <c r="AG186" s="7" t="e">
        <f t="shared" si="116"/>
        <v>#VALUE!</v>
      </c>
      <c r="AH186" s="1" t="str">
        <f>IF(ISERROR(INDEX(C4:C8,MATCH(G186,D4:D8,0))),"",INDEX(C4:C8,MATCH(G186,D4:D8,0)))</f>
        <v/>
      </c>
      <c r="AI186" s="79" t="e">
        <f>IF(IF(COUNTIF(AI4:AI185,AI184)&gt;=MAX(D4:D8),AI184+2,AI184)&gt;50,"",IF(COUNTIF(AI4:AI185,AI184)&gt;=MAX(D4:D8),AI184+2,AI184))</f>
        <v>#VALUE!</v>
      </c>
      <c r="AJ186" s="1" t="e">
        <f>IF(AI186="","",VLOOKUP(AI186,S4:U53,3,0))</f>
        <v>#VALUE!</v>
      </c>
      <c r="AK186" s="8" t="str">
        <f t="shared" si="117"/>
        <v/>
      </c>
      <c r="AM186" s="71" t="e">
        <f t="shared" si="118"/>
        <v>#VALUE!</v>
      </c>
      <c r="AN186" s="71" t="str">
        <f>IF(OR(COUNTBLANK(AQ186)=1,ISERROR(AQ186)),"",COUNT(AQ4:AQ186))</f>
        <v/>
      </c>
      <c r="AO186" s="7" t="e">
        <f t="shared" si="119"/>
        <v>#VALUE!</v>
      </c>
      <c r="AP186" s="1" t="str">
        <f>IF(ISERROR(INDEX(C4:C8,MATCH(H186,D4:D8,0))),"",INDEX(C4:C8,MATCH(H186,D4:D8,0)))</f>
        <v/>
      </c>
      <c r="AQ186" s="79" t="e">
        <f>IF(IF(COUNTIF(AQ4:AQ185,AQ183)&gt;=MAX(D4:D8),AQ183+3,AQ183)&gt;50,"",IF(COUNTIF(AQ4:AQ185,AQ183)&gt;=MAX(D4:D8),AQ183+3,AQ183))</f>
        <v>#VALUE!</v>
      </c>
      <c r="AR186" s="1" t="e">
        <f>IF(AQ186="","",VLOOKUP(AQ186,S4:U53,3,0))</f>
        <v>#VALUE!</v>
      </c>
      <c r="AS186" s="8" t="str">
        <f t="shared" si="120"/>
        <v/>
      </c>
      <c r="AU186" s="71" t="e">
        <f t="shared" si="121"/>
        <v>#VALUE!</v>
      </c>
      <c r="AV186" s="71" t="str">
        <f>IF(OR(COUNTBLANK(AY186)=1,ISERROR(AY186)),"",COUNT(AY4:AY186))</f>
        <v/>
      </c>
      <c r="AW186" s="7" t="e">
        <f t="shared" si="122"/>
        <v>#VALUE!</v>
      </c>
      <c r="AX186" s="1" t="str">
        <f>IF(ISERROR(INDEX(C4:C8,MATCH(I186,D4:D8,0))),"",INDEX(C4:C8,MATCH(I186,D4:D8,0)))</f>
        <v/>
      </c>
      <c r="AY186" s="79" t="e">
        <f>IF(IF(COUNTIF(AY4:AY185,AY182)&gt;=MAX(D4:D8),AY182+4,AY182)&gt;50,"",IF(COUNTIF(AY4:AY185,AY182)&gt;=MAX(D4:D8),AY182+4,AY182))</f>
        <v>#VALUE!</v>
      </c>
      <c r="AZ186" s="76" t="e">
        <f>IF(AY186="","",VLOOKUP(AY186,S4:U53,3,0))</f>
        <v>#VALUE!</v>
      </c>
      <c r="BA186" s="8" t="str">
        <f t="shared" si="123"/>
        <v/>
      </c>
      <c r="BC186" s="71" t="e">
        <f t="shared" si="124"/>
        <v>#VALUE!</v>
      </c>
      <c r="BD186" s="71" t="str">
        <f>IF(OR(COUNTBLANK(BG186)=1,ISERROR(BG186)),"",COUNT(BG4:BG186))</f>
        <v/>
      </c>
      <c r="BE186" s="7" t="e">
        <f t="shared" si="125"/>
        <v>#VALUE!</v>
      </c>
      <c r="BF186" s="1" t="str">
        <f>IF(ISERROR(INDEX(C4:C8,MATCH(J186,D4:D8,0))),"",INDEX(C4:C8,MATCH(J186,D4:D8,0)))</f>
        <v/>
      </c>
      <c r="BG186" s="79" t="e">
        <f>IF(IF(COUNTIF(BG4:BG185,BG181)&gt;=MAX(D4:D8),BG181+5,BG181)&gt;50,"",IF(COUNTIF(BG4:BG185,BG181)&gt;=MAX(D4:D8),BG181+5,BG181))</f>
        <v>#VALUE!</v>
      </c>
      <c r="BH186" s="76" t="e">
        <f>IF(BG186="","",VLOOKUP(BG186,S4:U53,3,0))</f>
        <v>#VALUE!</v>
      </c>
      <c r="BI186" s="8" t="str">
        <f t="shared" si="126"/>
        <v/>
      </c>
      <c r="BP186" s="71" t="e">
        <f>IF(BT186="","",BT186*10+3)</f>
        <v>#VALUE!</v>
      </c>
      <c r="BQ186" s="71" t="str">
        <f>IF(OR(COUNTBLANK(BT186)=1,ISERROR(BT186)),"",COUNT(BT4:BT186))</f>
        <v/>
      </c>
      <c r="BR186" s="7" t="e">
        <f t="shared" si="128"/>
        <v>#VALUE!</v>
      </c>
      <c r="BS186" s="1" t="str">
        <f t="shared" si="129"/>
        <v/>
      </c>
      <c r="BT186" s="79" t="e">
        <f>IF(IF(COUNTIF($BT$4:BT185,BT185)&gt;=MAX($D$4:$D$8),BT185+1,BT185)&gt;55,"",IF(COUNTIF($BT$4:BT185,BT185)&gt;=MAX($D$4:$D$8),BT185+1,BT185))</f>
        <v>#VALUE!</v>
      </c>
      <c r="BU186" s="1" t="e">
        <f t="shared" si="130"/>
        <v>#VALUE!</v>
      </c>
      <c r="BV186" s="8" t="str">
        <f t="shared" si="131"/>
        <v/>
      </c>
      <c r="BX186" s="71" t="e">
        <f t="shared" si="132"/>
        <v>#VALUE!</v>
      </c>
      <c r="BY186" s="71" t="str">
        <f>IF(OR(COUNTBLANK(CB186)=1,ISERROR(CB186)),"",COUNT($CB$4:CB186))</f>
        <v/>
      </c>
      <c r="BZ186" s="7" t="e">
        <f t="shared" si="133"/>
        <v>#VALUE!</v>
      </c>
      <c r="CA186" s="1" t="str">
        <f t="shared" si="134"/>
        <v/>
      </c>
      <c r="CB186" s="79" t="e">
        <f>IF(IF(COUNTIF($CB$4:CB185,CB184)&gt;=MAX($D$4:$D$8),CB184+2,CB184)&gt;55,"",IF(COUNTIF($CB$4:CB185,CB184)&gt;=MAX($D$4:$D$8),CB184+2,CB184))</f>
        <v>#VALUE!</v>
      </c>
      <c r="CC186" s="1" t="e">
        <f t="shared" si="135"/>
        <v>#VALUE!</v>
      </c>
      <c r="CD186" s="8" t="str">
        <f t="shared" si="136"/>
        <v/>
      </c>
      <c r="CF186" s="71" t="e">
        <f t="shared" si="149"/>
        <v>#VALUE!</v>
      </c>
      <c r="CG186" s="71" t="str">
        <f>IF(OR(COUNTBLANK(CJ186)=1,ISERROR(CJ186)),"",COUNT($CJ$4:CJ186))</f>
        <v/>
      </c>
      <c r="CH186" s="7" t="e">
        <f t="shared" si="150"/>
        <v>#VALUE!</v>
      </c>
      <c r="CI186" s="1" t="str">
        <f t="shared" si="151"/>
        <v/>
      </c>
      <c r="CJ186" s="79" t="e">
        <f>IF(IF(COUNTIF($CJ$4:CJ185,CJ183)&gt;=MAX($D$4:$D$8),CJ183+3,CJ183)&gt;55,"",IF(COUNTIF($CJ$4:CJ185,CJ183)&gt;=MAX($D$4:$D$8),CJ183+3,CJ183))</f>
        <v>#VALUE!</v>
      </c>
      <c r="CK186" s="1" t="e">
        <f t="shared" si="137"/>
        <v>#VALUE!</v>
      </c>
      <c r="CL186" s="8" t="str">
        <f t="shared" si="152"/>
        <v/>
      </c>
      <c r="CN186" s="71" t="e">
        <f t="shared" si="143"/>
        <v>#VALUE!</v>
      </c>
      <c r="CO186" s="71" t="str">
        <f>IF(OR(COUNTBLANK(CR186)=1,ISERROR(CR186)),"",COUNT($CR$4:CR186))</f>
        <v/>
      </c>
      <c r="CP186" s="7" t="e">
        <f t="shared" si="144"/>
        <v>#VALUE!</v>
      </c>
      <c r="CQ186" s="1" t="str">
        <f t="shared" si="145"/>
        <v/>
      </c>
      <c r="CR186" s="79" t="e">
        <f>IF(IF(COUNTIF($CR$4:CR185,CR182)&gt;=MAX($D$4:$D$8),CR182+4,CR182)&gt;55,"",IF(COUNTIF($CR$4:CR185,CR182)&gt;=MAX($D$4:$D$8),CR182+4,CR182))</f>
        <v>#VALUE!</v>
      </c>
      <c r="CS186" s="1" t="e">
        <f t="shared" si="138"/>
        <v>#VALUE!</v>
      </c>
      <c r="CT186" s="8" t="str">
        <f t="shared" si="146"/>
        <v/>
      </c>
      <c r="CV186" s="71" t="e">
        <f t="shared" si="153"/>
        <v>#VALUE!</v>
      </c>
      <c r="CW186" s="71" t="str">
        <f>IF(OR(COUNTBLANK(CZ186)=1,ISERROR(CZ186)),"",COUNT($CZ$4:CZ186))</f>
        <v/>
      </c>
      <c r="CX186" s="7" t="e">
        <f t="shared" si="154"/>
        <v>#VALUE!</v>
      </c>
      <c r="CY186" s="1" t="str">
        <f t="shared" si="155"/>
        <v/>
      </c>
      <c r="CZ186" s="79" t="e">
        <f>IF(IF(COUNTIF($CZ$4:CZ185,CZ181)&gt;=MAX($D$4:$D$8),CZ181+5,CZ181)&gt;55,"",IF(COUNTIF($CZ$4:CZ185,CZ181)&gt;=MAX($D$4:$D$8),CZ181+5,CZ181))</f>
        <v>#VALUE!</v>
      </c>
      <c r="DA186" s="1" t="e">
        <f t="shared" si="139"/>
        <v>#VALUE!</v>
      </c>
      <c r="DB186" s="8" t="str">
        <f t="shared" si="156"/>
        <v/>
      </c>
    </row>
    <row r="187" spans="5:106" x14ac:dyDescent="0.15">
      <c r="E187" s="1">
        <v>184</v>
      </c>
      <c r="F187" s="1">
        <f t="shared" si="140"/>
        <v>1</v>
      </c>
      <c r="G187" s="1">
        <f t="shared" si="147"/>
        <v>1</v>
      </c>
      <c r="H187" s="1">
        <f t="shared" si="141"/>
        <v>1</v>
      </c>
      <c r="I187" s="1">
        <f t="shared" si="142"/>
        <v>1</v>
      </c>
      <c r="J187" s="1">
        <f t="shared" si="148"/>
        <v>1</v>
      </c>
      <c r="L187" s="1" t="str">
        <f>IF(ISERROR(HLOOKUP($C$10,$F$3:$J$253,185,0)),"",HLOOKUP($C$10,$F$3:$J$253,185,0))</f>
        <v/>
      </c>
      <c r="N187" s="67"/>
      <c r="W187" s="71" t="e">
        <f>IF(AA187="","",AA187*10+4)</f>
        <v>#VALUE!</v>
      </c>
      <c r="X187" s="71" t="str">
        <f>IF(OR(COUNTBLANK(AA187)=1,ISERROR(AA187)),"",COUNT(AA4:AA187))</f>
        <v/>
      </c>
      <c r="Y187" s="7" t="e">
        <f t="shared" si="113"/>
        <v>#VALUE!</v>
      </c>
      <c r="Z187" s="1" t="str">
        <f t="shared" si="127"/>
        <v/>
      </c>
      <c r="AA187" s="79" t="e">
        <f>IF(IF(COUNTIF(AA4:AA186,AA186)&gt;=MAX(D4:D8),AA186+1,AA186)&gt;50,"",IF(COUNTIF(AA4:AA186,AA186)&gt;=MAX(D4:D8),AA186+1,AA186))</f>
        <v>#VALUE!</v>
      </c>
      <c r="AB187" s="1" t="e">
        <f>IF(AA187="","",VLOOKUP(AA187,S4:U53,3,0))</f>
        <v>#VALUE!</v>
      </c>
      <c r="AC187" s="8" t="str">
        <f t="shared" si="114"/>
        <v/>
      </c>
      <c r="AE187" s="71" t="e">
        <f t="shared" si="115"/>
        <v>#VALUE!</v>
      </c>
      <c r="AF187" s="71" t="str">
        <f>IF(OR(COUNTBLANK(AI187)=1,ISERROR(AI187)),"",COUNT(AI4:AI187))</f>
        <v/>
      </c>
      <c r="AG187" s="7" t="e">
        <f t="shared" si="116"/>
        <v>#VALUE!</v>
      </c>
      <c r="AH187" s="1" t="str">
        <f>IF(ISERROR(INDEX(C4:C8,MATCH(G187,D4:D8,0))),"",INDEX(C4:C8,MATCH(G187,D4:D8,0)))</f>
        <v/>
      </c>
      <c r="AI187" s="79" t="e">
        <f>IF(IF(COUNTIF(AI4:AI185,AI185)&gt;=MAX(D4:D8),AI185+2,AI185)&gt;50,"",IF(COUNTIF(AI4:AI185,AI185)&gt;=MAX(D4:D8),AI185+2,AI185))</f>
        <v>#VALUE!</v>
      </c>
      <c r="AJ187" s="1" t="e">
        <f>IF(AI187="","",VLOOKUP(AI187,S4:U53,3,0))</f>
        <v>#VALUE!</v>
      </c>
      <c r="AK187" s="8" t="str">
        <f t="shared" si="117"/>
        <v/>
      </c>
      <c r="AM187" s="71" t="e">
        <f t="shared" si="118"/>
        <v>#VALUE!</v>
      </c>
      <c r="AN187" s="71" t="str">
        <f>IF(OR(COUNTBLANK(AQ187)=1,ISERROR(AQ187)),"",COUNT(AQ4:AQ187))</f>
        <v/>
      </c>
      <c r="AO187" s="7" t="e">
        <f t="shared" si="119"/>
        <v>#VALUE!</v>
      </c>
      <c r="AP187" s="1" t="str">
        <f>IF(ISERROR(INDEX(C4:C8,MATCH(H187,D4:D8,0))),"",INDEX(C4:C8,MATCH(H187,D4:D8,0)))</f>
        <v/>
      </c>
      <c r="AQ187" s="79" t="e">
        <f>IF(IF(COUNTIF(AQ4:AQ186,AQ184)&gt;=MAX(D4:D8),AQ184+3,AQ184)&gt;50,"",IF(COUNTIF(AQ4:AQ186,AQ184)&gt;=MAX(D4:D8),AQ184+3,AQ184))</f>
        <v>#VALUE!</v>
      </c>
      <c r="AR187" s="1" t="e">
        <f>IF(AQ187="","",VLOOKUP(AQ187,S4:U53,3,0))</f>
        <v>#VALUE!</v>
      </c>
      <c r="AS187" s="8" t="str">
        <f t="shared" si="120"/>
        <v/>
      </c>
      <c r="AU187" s="71" t="e">
        <f t="shared" si="121"/>
        <v>#VALUE!</v>
      </c>
      <c r="AV187" s="71" t="str">
        <f>IF(OR(COUNTBLANK(AY187)=1,ISERROR(AY187)),"",COUNT(AY4:AY187))</f>
        <v/>
      </c>
      <c r="AW187" s="7" t="e">
        <f t="shared" si="122"/>
        <v>#VALUE!</v>
      </c>
      <c r="AX187" s="1" t="str">
        <f>IF(ISERROR(INDEX(C4:C8,MATCH(I187,D4:D8,0))),"",INDEX(C4:C8,MATCH(I187,D4:D8,0)))</f>
        <v/>
      </c>
      <c r="AY187" s="79" t="e">
        <f>IF(IF(COUNTIF(AY4:AY186,AY183)&gt;=MAX(D4:D8),AY183+4,AY183)&gt;50,"",IF(COUNTIF(AY4:AY186,AY183)&gt;=MAX(D4:D8),AY183+4,AY183))</f>
        <v>#VALUE!</v>
      </c>
      <c r="AZ187" s="76" t="e">
        <f>IF(AY187="","",VLOOKUP(AY187,S4:U53,3,0))</f>
        <v>#VALUE!</v>
      </c>
      <c r="BA187" s="8" t="str">
        <f t="shared" si="123"/>
        <v/>
      </c>
      <c r="BC187" s="71" t="e">
        <f t="shared" si="124"/>
        <v>#VALUE!</v>
      </c>
      <c r="BD187" s="71" t="str">
        <f>IF(OR(COUNTBLANK(BG187)=1,ISERROR(BG187)),"",COUNT(BG4:BG187))</f>
        <v/>
      </c>
      <c r="BE187" s="7" t="e">
        <f t="shared" si="125"/>
        <v>#VALUE!</v>
      </c>
      <c r="BF187" s="1" t="str">
        <f>IF(ISERROR(INDEX(C4:C8,MATCH(J187,D4:D8,0))),"",INDEX(C4:C8,MATCH(J187,D4:D8,0)))</f>
        <v/>
      </c>
      <c r="BG187" s="79" t="e">
        <f>IF(IF(COUNTIF(BG4:BG186,BG182)&gt;=MAX(D4:D8),BG182+5,BG182)&gt;50,"",IF(COUNTIF(BG4:BG186,BG182)&gt;=MAX(D4:D8),BG182+5,BG182))</f>
        <v>#VALUE!</v>
      </c>
      <c r="BH187" s="76" t="e">
        <f>IF(BG187="","",VLOOKUP(BG187,S4:U53,3,0))</f>
        <v>#VALUE!</v>
      </c>
      <c r="BI187" s="8" t="str">
        <f t="shared" si="126"/>
        <v/>
      </c>
      <c r="BP187" s="71" t="e">
        <f>IF(BT187="","",BT187*10+4)</f>
        <v>#VALUE!</v>
      </c>
      <c r="BQ187" s="71" t="str">
        <f>IF(OR(COUNTBLANK(BT187)=1,ISERROR(BT187)),"",COUNT(BT4:BT187))</f>
        <v/>
      </c>
      <c r="BR187" s="7" t="e">
        <f t="shared" si="128"/>
        <v>#VALUE!</v>
      </c>
      <c r="BS187" s="1" t="str">
        <f t="shared" si="129"/>
        <v/>
      </c>
      <c r="BT187" s="79" t="e">
        <f>IF(IF(COUNTIF($BT$4:BT186,BT186)&gt;=MAX($D$4:$D$8),BT186+1,BT186)&gt;55,"",IF(COUNTIF($BT$4:BT186,BT186)&gt;=MAX($D$4:$D$8),BT186+1,BT186))</f>
        <v>#VALUE!</v>
      </c>
      <c r="BU187" s="1" t="e">
        <f t="shared" si="130"/>
        <v>#VALUE!</v>
      </c>
      <c r="BV187" s="8" t="str">
        <f t="shared" si="131"/>
        <v/>
      </c>
      <c r="BX187" s="71" t="e">
        <f t="shared" si="132"/>
        <v>#VALUE!</v>
      </c>
      <c r="BY187" s="71" t="str">
        <f>IF(OR(COUNTBLANK(CB187)=1,ISERROR(CB187)),"",COUNT($CB$4:CB187))</f>
        <v/>
      </c>
      <c r="BZ187" s="7" t="e">
        <f t="shared" si="133"/>
        <v>#VALUE!</v>
      </c>
      <c r="CA187" s="1" t="str">
        <f t="shared" si="134"/>
        <v/>
      </c>
      <c r="CB187" s="79" t="e">
        <f>IF(IF(COUNTIF($CB$4:CB186,CB185)&gt;=MAX($D$4:$D$8),CB185+2,CB185)&gt;55,"",IF(COUNTIF($CB$4:CB186,CB185)&gt;=MAX($D$4:$D$8),CB185+2,CB185))</f>
        <v>#VALUE!</v>
      </c>
      <c r="CC187" s="1" t="e">
        <f t="shared" si="135"/>
        <v>#VALUE!</v>
      </c>
      <c r="CD187" s="8" t="str">
        <f t="shared" si="136"/>
        <v/>
      </c>
      <c r="CF187" s="71" t="e">
        <f t="shared" si="149"/>
        <v>#VALUE!</v>
      </c>
      <c r="CG187" s="71" t="str">
        <f>IF(OR(COUNTBLANK(CJ187)=1,ISERROR(CJ187)),"",COUNT($CJ$4:CJ187))</f>
        <v/>
      </c>
      <c r="CH187" s="7" t="e">
        <f t="shared" si="150"/>
        <v>#VALUE!</v>
      </c>
      <c r="CI187" s="1" t="str">
        <f t="shared" si="151"/>
        <v/>
      </c>
      <c r="CJ187" s="79" t="e">
        <f>IF(IF(COUNTIF($CJ$4:CJ186,CJ184)&gt;=MAX($D$4:$D$8),CJ184+3,CJ184)&gt;55,"",IF(COUNTIF($CJ$4:CJ186,CJ184)&gt;=MAX($D$4:$D$8),CJ184+3,CJ184))</f>
        <v>#VALUE!</v>
      </c>
      <c r="CK187" s="1" t="e">
        <f t="shared" si="137"/>
        <v>#VALUE!</v>
      </c>
      <c r="CL187" s="8" t="str">
        <f t="shared" si="152"/>
        <v/>
      </c>
      <c r="CN187" s="71" t="e">
        <f t="shared" si="143"/>
        <v>#VALUE!</v>
      </c>
      <c r="CO187" s="71" t="str">
        <f>IF(OR(COUNTBLANK(CR187)=1,ISERROR(CR187)),"",COUNT($CR$4:CR187))</f>
        <v/>
      </c>
      <c r="CP187" s="7" t="e">
        <f t="shared" si="144"/>
        <v>#VALUE!</v>
      </c>
      <c r="CQ187" s="1" t="str">
        <f t="shared" si="145"/>
        <v/>
      </c>
      <c r="CR187" s="79" t="e">
        <f>IF(IF(COUNTIF($CR$4:CR186,CR183)&gt;=MAX($D$4:$D$8),CR183+4,CR183)&gt;55,"",IF(COUNTIF($CR$4:CR186,CR183)&gt;=MAX($D$4:$D$8),CR183+4,CR183))</f>
        <v>#VALUE!</v>
      </c>
      <c r="CS187" s="1" t="e">
        <f t="shared" si="138"/>
        <v>#VALUE!</v>
      </c>
      <c r="CT187" s="8" t="str">
        <f t="shared" si="146"/>
        <v/>
      </c>
      <c r="CV187" s="71" t="e">
        <f t="shared" si="153"/>
        <v>#VALUE!</v>
      </c>
      <c r="CW187" s="71" t="str">
        <f>IF(OR(COUNTBLANK(CZ187)=1,ISERROR(CZ187)),"",COUNT($CZ$4:CZ187))</f>
        <v/>
      </c>
      <c r="CX187" s="7" t="e">
        <f t="shared" si="154"/>
        <v>#VALUE!</v>
      </c>
      <c r="CY187" s="1" t="str">
        <f t="shared" si="155"/>
        <v/>
      </c>
      <c r="CZ187" s="79" t="e">
        <f>IF(IF(COUNTIF($CZ$4:CZ186,CZ182)&gt;=MAX($D$4:$D$8),CZ182+5,CZ182)&gt;55,"",IF(COUNTIF($CZ$4:CZ186,CZ182)&gt;=MAX($D$4:$D$8),CZ182+5,CZ182))</f>
        <v>#VALUE!</v>
      </c>
      <c r="DA187" s="1" t="e">
        <f t="shared" si="139"/>
        <v>#VALUE!</v>
      </c>
      <c r="DB187" s="8" t="str">
        <f t="shared" si="156"/>
        <v/>
      </c>
    </row>
    <row r="188" spans="5:106" x14ac:dyDescent="0.15">
      <c r="E188" s="1">
        <v>185</v>
      </c>
      <c r="F188" s="1">
        <f t="shared" si="140"/>
        <v>1</v>
      </c>
      <c r="G188" s="1">
        <f t="shared" si="147"/>
        <v>1</v>
      </c>
      <c r="H188" s="1">
        <f t="shared" si="141"/>
        <v>1</v>
      </c>
      <c r="I188" s="1">
        <f t="shared" si="142"/>
        <v>1</v>
      </c>
      <c r="J188" s="1">
        <f t="shared" si="148"/>
        <v>1</v>
      </c>
      <c r="L188" s="1" t="str">
        <f>IF(ISERROR(HLOOKUP($C$10,$F$3:$J$253,186,0)),"",HLOOKUP($C$10,$F$3:$J$253,186,0))</f>
        <v/>
      </c>
      <c r="N188" s="67"/>
      <c r="W188" s="71" t="e">
        <f>IF(AA188="","",AA188*10+5)</f>
        <v>#VALUE!</v>
      </c>
      <c r="X188" s="71" t="str">
        <f>IF(OR(COUNTBLANK(AA188)=1,ISERROR(AA188)),"",COUNT(AA4:AA188))</f>
        <v/>
      </c>
      <c r="Y188" s="7" t="e">
        <f t="shared" si="113"/>
        <v>#VALUE!</v>
      </c>
      <c r="Z188" s="1" t="str">
        <f t="shared" si="127"/>
        <v/>
      </c>
      <c r="AA188" s="79" t="e">
        <f>IF(IF(COUNTIF(AA4:AA187,AA187)&gt;=MAX(D4:D8),AA187+1,AA187)&gt;50,"",IF(COUNTIF(AA4:AA187,AA187)&gt;=MAX(D4:D8),AA187+1,AA187))</f>
        <v>#VALUE!</v>
      </c>
      <c r="AB188" s="1" t="e">
        <f>IF(AA188="","",VLOOKUP(AA188,S4:U53,3,0))</f>
        <v>#VALUE!</v>
      </c>
      <c r="AC188" s="8" t="str">
        <f t="shared" si="114"/>
        <v/>
      </c>
      <c r="AE188" s="71" t="e">
        <f t="shared" si="115"/>
        <v>#VALUE!</v>
      </c>
      <c r="AF188" s="71" t="str">
        <f>IF(OR(COUNTBLANK(AI188)=1,ISERROR(AI188)),"",COUNT(AI4:AI188))</f>
        <v/>
      </c>
      <c r="AG188" s="7" t="e">
        <f t="shared" si="116"/>
        <v>#VALUE!</v>
      </c>
      <c r="AH188" s="1" t="str">
        <f>IF(ISERROR(INDEX(C4:C8,MATCH(G188,D4:D8,0))),"",INDEX(C4:C8,MATCH(G188,D4:D8,0)))</f>
        <v/>
      </c>
      <c r="AI188" s="79" t="e">
        <f>IF(IF(COUNTIF(AI4:AI187,AI186)&gt;=MAX(D4:D8),AI186+2,AI186)&gt;50,"",IF(COUNTIF(AI4:AI187,AI186)&gt;=MAX(D4:D8),AI186+2,AI186))</f>
        <v>#VALUE!</v>
      </c>
      <c r="AJ188" s="1" t="e">
        <f>IF(AI188="","",VLOOKUP(AI188,S4:U53,3,0))</f>
        <v>#VALUE!</v>
      </c>
      <c r="AK188" s="8" t="str">
        <f t="shared" si="117"/>
        <v/>
      </c>
      <c r="AM188" s="71" t="e">
        <f t="shared" si="118"/>
        <v>#VALUE!</v>
      </c>
      <c r="AN188" s="71" t="str">
        <f>IF(OR(COUNTBLANK(AQ188)=1,ISERROR(AQ188)),"",COUNT(AQ4:AQ188))</f>
        <v/>
      </c>
      <c r="AO188" s="7" t="e">
        <f t="shared" si="119"/>
        <v>#VALUE!</v>
      </c>
      <c r="AP188" s="1" t="str">
        <f>IF(ISERROR(INDEX(C4:C8,MATCH(H188,D4:D8,0))),"",INDEX(C4:C8,MATCH(H188,D4:D8,0)))</f>
        <v/>
      </c>
      <c r="AQ188" s="79" t="e">
        <f>IF(IF(COUNTIF(AQ4:AQ187,AQ185)&gt;=MAX(D4:D8),AQ185+3,AQ185)&gt;50,"",IF(COUNTIF(AQ4:AQ187,AQ185)&gt;=MAX(D4:D8),AQ185+3,AQ185))</f>
        <v>#VALUE!</v>
      </c>
      <c r="AR188" s="1" t="e">
        <f>IF(AQ188="","",VLOOKUP(AQ188,S4:U53,3,0))</f>
        <v>#VALUE!</v>
      </c>
      <c r="AS188" s="8" t="str">
        <f t="shared" si="120"/>
        <v/>
      </c>
      <c r="AU188" s="71" t="e">
        <f t="shared" si="121"/>
        <v>#VALUE!</v>
      </c>
      <c r="AV188" s="71" t="str">
        <f>IF(OR(COUNTBLANK(AY188)=1,ISERROR(AY188)),"",COUNT(AY4:AY188))</f>
        <v/>
      </c>
      <c r="AW188" s="7" t="e">
        <f t="shared" si="122"/>
        <v>#VALUE!</v>
      </c>
      <c r="AX188" s="1" t="str">
        <f>IF(ISERROR(INDEX(C4:C8,MATCH(I188,D4:D8,0))),"",INDEX(C4:C8,MATCH(I188,D4:D8,0)))</f>
        <v/>
      </c>
      <c r="AY188" s="79" t="e">
        <f>IF(IF(COUNTIF(AY4:AY187,AY184)&gt;=MAX(D4:D8),AY184+4,AY184)&gt;50,"",IF(COUNTIF(AY4:AY187,AY184)&gt;=MAX(D4:D8),AY184+4,AY184))</f>
        <v>#VALUE!</v>
      </c>
      <c r="AZ188" s="76" t="e">
        <f>IF(AY188="","",VLOOKUP(AY188,S4:U53,3,0))</f>
        <v>#VALUE!</v>
      </c>
      <c r="BA188" s="8" t="str">
        <f t="shared" si="123"/>
        <v/>
      </c>
      <c r="BC188" s="71" t="e">
        <f t="shared" si="124"/>
        <v>#VALUE!</v>
      </c>
      <c r="BD188" s="71" t="str">
        <f>IF(OR(COUNTBLANK(BG188)=1,ISERROR(BG188)),"",COUNT(BG4:BG188))</f>
        <v/>
      </c>
      <c r="BE188" s="7" t="e">
        <f t="shared" si="125"/>
        <v>#VALUE!</v>
      </c>
      <c r="BF188" s="1" t="str">
        <f>IF(ISERROR(INDEX(C4:C8,MATCH(J188,D4:D8,0))),"",INDEX(C4:C8,MATCH(J188,D4:D8,0)))</f>
        <v/>
      </c>
      <c r="BG188" s="79" t="e">
        <f>IF(IF(COUNTIF(BG4:BG187,BG183)&gt;=MAX(D4:D8),BG183+5,BG183)&gt;50,"",IF(COUNTIF(BG4:BG187,BG183)&gt;=MAX(D4:D8),BG183+5,BG183))</f>
        <v>#VALUE!</v>
      </c>
      <c r="BH188" s="76" t="e">
        <f>IF(BG188="","",VLOOKUP(BG188,S4:U53,3,0))</f>
        <v>#VALUE!</v>
      </c>
      <c r="BI188" s="8" t="str">
        <f t="shared" si="126"/>
        <v/>
      </c>
      <c r="BP188" s="71" t="e">
        <f>IF(BT188="","",BT188*10+5)</f>
        <v>#VALUE!</v>
      </c>
      <c r="BQ188" s="71" t="str">
        <f>IF(OR(COUNTBLANK(BT188)=1,ISERROR(BT188)),"",COUNT(BT4:BT188))</f>
        <v/>
      </c>
      <c r="BR188" s="7" t="e">
        <f t="shared" si="128"/>
        <v>#VALUE!</v>
      </c>
      <c r="BS188" s="1" t="str">
        <f t="shared" si="129"/>
        <v/>
      </c>
      <c r="BT188" s="79" t="e">
        <f>IF(IF(COUNTIF($BT$4:BT187,BT187)&gt;=MAX($D$4:$D$8),BT187+1,BT187)&gt;55,"",IF(COUNTIF($BT$4:BT187,BT187)&gt;=MAX($D$4:$D$8),BT187+1,BT187))</f>
        <v>#VALUE!</v>
      </c>
      <c r="BU188" s="1" t="e">
        <f t="shared" si="130"/>
        <v>#VALUE!</v>
      </c>
      <c r="BV188" s="8" t="str">
        <f t="shared" si="131"/>
        <v/>
      </c>
      <c r="BX188" s="71" t="e">
        <f t="shared" si="132"/>
        <v>#VALUE!</v>
      </c>
      <c r="BY188" s="71" t="str">
        <f>IF(OR(COUNTBLANK(CB188)=1,ISERROR(CB188)),"",COUNT($CB$4:CB188))</f>
        <v/>
      </c>
      <c r="BZ188" s="7" t="e">
        <f t="shared" si="133"/>
        <v>#VALUE!</v>
      </c>
      <c r="CA188" s="1" t="str">
        <f t="shared" si="134"/>
        <v/>
      </c>
      <c r="CB188" s="79" t="e">
        <f>IF(IF(COUNTIF($CB$4:CB187,CB186)&gt;=MAX($D$4:$D$8),CB186+2,CB186)&gt;55,"",IF(COUNTIF($CB$4:CB187,CB186)&gt;=MAX($D$4:$D$8),CB186+2,CB186))</f>
        <v>#VALUE!</v>
      </c>
      <c r="CC188" s="1" t="e">
        <f t="shared" si="135"/>
        <v>#VALUE!</v>
      </c>
      <c r="CD188" s="8" t="str">
        <f t="shared" si="136"/>
        <v/>
      </c>
      <c r="CF188" s="71" t="e">
        <f t="shared" si="149"/>
        <v>#VALUE!</v>
      </c>
      <c r="CG188" s="71" t="str">
        <f>IF(OR(COUNTBLANK(CJ188)=1,ISERROR(CJ188)),"",COUNT($CJ$4:CJ188))</f>
        <v/>
      </c>
      <c r="CH188" s="7" t="e">
        <f t="shared" si="150"/>
        <v>#VALUE!</v>
      </c>
      <c r="CI188" s="1" t="str">
        <f t="shared" si="151"/>
        <v/>
      </c>
      <c r="CJ188" s="79" t="e">
        <f>IF(IF(COUNTIF($CJ$4:CJ187,CJ185)&gt;=MAX($D$4:$D$8),CJ185+3,CJ185)&gt;55,"",IF(COUNTIF($CJ$4:CJ187,CJ185)&gt;=MAX($D$4:$D$8),CJ185+3,CJ185))</f>
        <v>#VALUE!</v>
      </c>
      <c r="CK188" s="1" t="e">
        <f t="shared" si="137"/>
        <v>#VALUE!</v>
      </c>
      <c r="CL188" s="8" t="str">
        <f t="shared" si="152"/>
        <v/>
      </c>
      <c r="CN188" s="71" t="e">
        <f t="shared" si="143"/>
        <v>#VALUE!</v>
      </c>
      <c r="CO188" s="71" t="str">
        <f>IF(OR(COUNTBLANK(CR188)=1,ISERROR(CR188)),"",COUNT($CR$4:CR188))</f>
        <v/>
      </c>
      <c r="CP188" s="7" t="e">
        <f t="shared" si="144"/>
        <v>#VALUE!</v>
      </c>
      <c r="CQ188" s="1" t="str">
        <f t="shared" si="145"/>
        <v/>
      </c>
      <c r="CR188" s="79" t="e">
        <f>IF(IF(COUNTIF($CR$4:CR187,CR184)&gt;=MAX($D$4:$D$8),CR184+4,CR184)&gt;55,"",IF(COUNTIF($CR$4:CR187,CR184)&gt;=MAX($D$4:$D$8),CR184+4,CR184))</f>
        <v>#VALUE!</v>
      </c>
      <c r="CS188" s="1" t="e">
        <f t="shared" si="138"/>
        <v>#VALUE!</v>
      </c>
      <c r="CT188" s="8" t="str">
        <f t="shared" si="146"/>
        <v/>
      </c>
      <c r="CV188" s="71" t="e">
        <f t="shared" si="153"/>
        <v>#VALUE!</v>
      </c>
      <c r="CW188" s="71" t="str">
        <f>IF(OR(COUNTBLANK(CZ188)=1,ISERROR(CZ188)),"",COUNT($CZ$4:CZ188))</f>
        <v/>
      </c>
      <c r="CX188" s="7" t="e">
        <f t="shared" si="154"/>
        <v>#VALUE!</v>
      </c>
      <c r="CY188" s="1" t="str">
        <f t="shared" si="155"/>
        <v/>
      </c>
      <c r="CZ188" s="79" t="e">
        <f>IF(IF(COUNTIF($CZ$4:CZ187,CZ183)&gt;=MAX($D$4:$D$8),CZ183+5,CZ183)&gt;55,"",IF(COUNTIF($CZ$4:CZ187,CZ183)&gt;=MAX($D$4:$D$8),CZ183+5,CZ183))</f>
        <v>#VALUE!</v>
      </c>
      <c r="DA188" s="1" t="e">
        <f t="shared" si="139"/>
        <v>#VALUE!</v>
      </c>
      <c r="DB188" s="8" t="str">
        <f t="shared" si="156"/>
        <v/>
      </c>
    </row>
    <row r="189" spans="5:106" x14ac:dyDescent="0.15">
      <c r="E189" s="1">
        <v>186</v>
      </c>
      <c r="F189" s="1">
        <f t="shared" si="140"/>
        <v>1</v>
      </c>
      <c r="G189" s="1">
        <f t="shared" si="147"/>
        <v>1</v>
      </c>
      <c r="H189" s="1">
        <f t="shared" si="141"/>
        <v>1</v>
      </c>
      <c r="I189" s="1">
        <f t="shared" si="142"/>
        <v>1</v>
      </c>
      <c r="J189" s="1">
        <f t="shared" si="148"/>
        <v>1</v>
      </c>
      <c r="L189" s="1" t="str">
        <f>IF(ISERROR(HLOOKUP($C$10,$F$3:$J$253,187,0)),"",HLOOKUP($C$10,$F$3:$J$253,187,0))</f>
        <v/>
      </c>
      <c r="N189" s="67"/>
      <c r="W189" s="71" t="e">
        <f>IF(AA189="","",AA189*10+1)</f>
        <v>#VALUE!</v>
      </c>
      <c r="X189" s="71" t="str">
        <f>IF(OR(COUNTBLANK(AA189)=1,ISERROR(AA189)),"",COUNT(AA4:AA189))</f>
        <v/>
      </c>
      <c r="Y189" s="7" t="e">
        <f t="shared" si="113"/>
        <v>#VALUE!</v>
      </c>
      <c r="Z189" s="1" t="str">
        <f t="shared" si="127"/>
        <v/>
      </c>
      <c r="AA189" s="79" t="e">
        <f>IF(IF(COUNTIF(AA4:AA188,AA188)&gt;=MAX(D4:D8),AA188+1,AA188)&gt;50,"",IF(COUNTIF(AA4:AA188,AA188)&gt;=MAX(D4:D8),AA188+1,AA188))</f>
        <v>#VALUE!</v>
      </c>
      <c r="AB189" s="1" t="e">
        <f>IF(AA189="","",VLOOKUP(AA189,S4:U53,3,0))</f>
        <v>#VALUE!</v>
      </c>
      <c r="AC189" s="8" t="str">
        <f t="shared" si="114"/>
        <v/>
      </c>
      <c r="AE189" s="71" t="e">
        <f t="shared" si="115"/>
        <v>#VALUE!</v>
      </c>
      <c r="AF189" s="71" t="str">
        <f>IF(OR(COUNTBLANK(AI189)=1,ISERROR(AI189)),"",COUNT(AI4:AI189))</f>
        <v/>
      </c>
      <c r="AG189" s="7" t="e">
        <f t="shared" si="116"/>
        <v>#VALUE!</v>
      </c>
      <c r="AH189" s="1" t="str">
        <f>IF(ISERROR(INDEX(C4:C8,MATCH(G189,D4:D8,0))),"",INDEX(C4:C8,MATCH(G189,D4:D8,0)))</f>
        <v/>
      </c>
      <c r="AI189" s="79" t="e">
        <f>IF(IF(COUNTIF(AI4:AI187,AI187)&gt;=MAX(D4:D8),AI187+2,AI187)&gt;50,"",IF(COUNTIF(AI4:AI187,AI187)&gt;=MAX(D4:D8),AI187+2,AI187))</f>
        <v>#VALUE!</v>
      </c>
      <c r="AJ189" s="1" t="e">
        <f>IF(AI189="","",VLOOKUP(AI189,S4:U53,3,0))</f>
        <v>#VALUE!</v>
      </c>
      <c r="AK189" s="8" t="str">
        <f t="shared" si="117"/>
        <v/>
      </c>
      <c r="AM189" s="71" t="e">
        <f t="shared" si="118"/>
        <v>#VALUE!</v>
      </c>
      <c r="AN189" s="71" t="str">
        <f>IF(OR(COUNTBLANK(AQ189)=1,ISERROR(AQ189)),"",COUNT(AQ4:AQ189))</f>
        <v/>
      </c>
      <c r="AO189" s="7" t="e">
        <f t="shared" si="119"/>
        <v>#VALUE!</v>
      </c>
      <c r="AP189" s="1" t="str">
        <f>IF(ISERROR(INDEX(C4:C8,MATCH(H189,D4:D8,0))),"",INDEX(C4:C8,MATCH(H189,D4:D8,0)))</f>
        <v/>
      </c>
      <c r="AQ189" s="79" t="e">
        <f>IF(IF(COUNTIF(AQ4:AQ188,AQ186)&gt;=MAX(D4:D8),AQ186+3,AQ186)&gt;50,"",IF(COUNTIF(AQ4:AQ188,AQ186)&gt;=MAX(D4:D8),AQ186+3,AQ186))</f>
        <v>#VALUE!</v>
      </c>
      <c r="AR189" s="1" t="e">
        <f>IF(AQ189="","",VLOOKUP(AQ189,S4:U53,3,0))</f>
        <v>#VALUE!</v>
      </c>
      <c r="AS189" s="8" t="str">
        <f t="shared" si="120"/>
        <v/>
      </c>
      <c r="AU189" s="71" t="e">
        <f t="shared" si="121"/>
        <v>#VALUE!</v>
      </c>
      <c r="AV189" s="71" t="str">
        <f>IF(OR(COUNTBLANK(AY189)=1,ISERROR(AY189)),"",COUNT(AY4:AY189))</f>
        <v/>
      </c>
      <c r="AW189" s="7" t="e">
        <f t="shared" si="122"/>
        <v>#VALUE!</v>
      </c>
      <c r="AX189" s="1" t="str">
        <f>IF(ISERROR(INDEX(C4:C8,MATCH(I189,D4:D8,0))),"",INDEX(C4:C8,MATCH(I189,D4:D8,0)))</f>
        <v/>
      </c>
      <c r="AY189" s="79" t="e">
        <f>IF(IF(COUNTIF(AY4:AY188,AY185)&gt;=MAX(D4:D8),AY185+4,AY185)&gt;50,"",IF(COUNTIF(AY4:AY188,AY185)&gt;=MAX(D4:D8),AY185+4,AY185))</f>
        <v>#VALUE!</v>
      </c>
      <c r="AZ189" s="76" t="e">
        <f>IF(AY189="","",VLOOKUP(AY189,S4:U53,3,0))</f>
        <v>#VALUE!</v>
      </c>
      <c r="BA189" s="8" t="str">
        <f t="shared" si="123"/>
        <v/>
      </c>
      <c r="BC189" s="71" t="e">
        <f t="shared" si="124"/>
        <v>#VALUE!</v>
      </c>
      <c r="BD189" s="71" t="str">
        <f>IF(OR(COUNTBLANK(BG189)=1,ISERROR(BG189)),"",COUNT(BG4:BG189))</f>
        <v/>
      </c>
      <c r="BE189" s="7" t="e">
        <f t="shared" si="125"/>
        <v>#VALUE!</v>
      </c>
      <c r="BF189" s="1" t="str">
        <f>IF(ISERROR(INDEX(C4:C8,MATCH(J189,D4:D8,0))),"",INDEX(C4:C8,MATCH(J189,D4:D8,0)))</f>
        <v/>
      </c>
      <c r="BG189" s="79" t="e">
        <f>IF(IF(COUNTIF(BG4:BG188,BG184)&gt;=MAX(D4:D8),BG184+5,BG184)&gt;50,"",IF(COUNTIF(BG4:BG188,BG184)&gt;=MAX(D4:D8),BG184+5,BG184))</f>
        <v>#VALUE!</v>
      </c>
      <c r="BH189" s="76" t="e">
        <f>IF(BG189="","",VLOOKUP(BG189,S4:U53,3,0))</f>
        <v>#VALUE!</v>
      </c>
      <c r="BI189" s="8" t="str">
        <f t="shared" si="126"/>
        <v/>
      </c>
      <c r="BP189" s="71" t="e">
        <f>IF(BT189="","",BT189*10+1)</f>
        <v>#VALUE!</v>
      </c>
      <c r="BQ189" s="71" t="str">
        <f>IF(OR(COUNTBLANK(BT189)=1,ISERROR(BT189)),"",COUNT(BT4:BT189))</f>
        <v/>
      </c>
      <c r="BR189" s="7" t="e">
        <f t="shared" si="128"/>
        <v>#VALUE!</v>
      </c>
      <c r="BS189" s="1" t="str">
        <f t="shared" si="129"/>
        <v/>
      </c>
      <c r="BT189" s="79" t="e">
        <f>IF(IF(COUNTIF($BT$4:BT188,BT188)&gt;=MAX($D$4:$D$8),BT188+1,BT188)&gt;55,"",IF(COUNTIF($BT$4:BT188,BT188)&gt;=MAX($D$4:$D$8),BT188+1,BT188))</f>
        <v>#VALUE!</v>
      </c>
      <c r="BU189" s="1" t="e">
        <f t="shared" si="130"/>
        <v>#VALUE!</v>
      </c>
      <c r="BV189" s="8" t="str">
        <f t="shared" si="131"/>
        <v/>
      </c>
      <c r="BX189" s="71" t="e">
        <f t="shared" si="132"/>
        <v>#VALUE!</v>
      </c>
      <c r="BY189" s="71" t="str">
        <f>IF(OR(COUNTBLANK(CB189)=1,ISERROR(CB189)),"",COUNT($CB$4:CB189))</f>
        <v/>
      </c>
      <c r="BZ189" s="7" t="e">
        <f t="shared" si="133"/>
        <v>#VALUE!</v>
      </c>
      <c r="CA189" s="1" t="str">
        <f t="shared" si="134"/>
        <v/>
      </c>
      <c r="CB189" s="79" t="e">
        <f>IF(IF(COUNTIF($CB$4:CB188,CB187)&gt;=MAX($D$4:$D$8),CB187+2,CB187)&gt;55,"",IF(COUNTIF($CB$4:CB188,CB187)&gt;=MAX($D$4:$D$8),CB187+2,CB187))</f>
        <v>#VALUE!</v>
      </c>
      <c r="CC189" s="1" t="e">
        <f t="shared" si="135"/>
        <v>#VALUE!</v>
      </c>
      <c r="CD189" s="8" t="str">
        <f t="shared" si="136"/>
        <v/>
      </c>
      <c r="CF189" s="71" t="e">
        <f t="shared" si="149"/>
        <v>#VALUE!</v>
      </c>
      <c r="CG189" s="71" t="str">
        <f>IF(OR(COUNTBLANK(CJ189)=1,ISERROR(CJ189)),"",COUNT($CJ$4:CJ189))</f>
        <v/>
      </c>
      <c r="CH189" s="7" t="e">
        <f t="shared" si="150"/>
        <v>#VALUE!</v>
      </c>
      <c r="CI189" s="1" t="str">
        <f t="shared" si="151"/>
        <v/>
      </c>
      <c r="CJ189" s="79" t="e">
        <f>IF(IF(COUNTIF($CJ$4:CJ188,CJ186)&gt;=MAX($D$4:$D$8),CJ186+3,CJ186)&gt;55,"",IF(COUNTIF($CJ$4:CJ188,CJ186)&gt;=MAX($D$4:$D$8),CJ186+3,CJ186))</f>
        <v>#VALUE!</v>
      </c>
      <c r="CK189" s="1" t="e">
        <f t="shared" si="137"/>
        <v>#VALUE!</v>
      </c>
      <c r="CL189" s="8" t="str">
        <f t="shared" si="152"/>
        <v/>
      </c>
      <c r="CN189" s="71" t="e">
        <f t="shared" si="143"/>
        <v>#VALUE!</v>
      </c>
      <c r="CO189" s="71" t="str">
        <f>IF(OR(COUNTBLANK(CR189)=1,ISERROR(CR189)),"",COUNT($CR$4:CR189))</f>
        <v/>
      </c>
      <c r="CP189" s="7" t="e">
        <f t="shared" si="144"/>
        <v>#VALUE!</v>
      </c>
      <c r="CQ189" s="1" t="str">
        <f t="shared" si="145"/>
        <v/>
      </c>
      <c r="CR189" s="79" t="e">
        <f>IF(IF(COUNTIF($CR$4:CR188,CR185)&gt;=MAX($D$4:$D$8),CR185+4,CR185)&gt;55,"",IF(COUNTIF($CR$4:CR188,CR185)&gt;=MAX($D$4:$D$8),CR185+4,CR185))</f>
        <v>#VALUE!</v>
      </c>
      <c r="CS189" s="1" t="e">
        <f t="shared" si="138"/>
        <v>#VALUE!</v>
      </c>
      <c r="CT189" s="8" t="str">
        <f t="shared" si="146"/>
        <v/>
      </c>
      <c r="CV189" s="71" t="e">
        <f t="shared" si="153"/>
        <v>#VALUE!</v>
      </c>
      <c r="CW189" s="71" t="str">
        <f>IF(OR(COUNTBLANK(CZ189)=1,ISERROR(CZ189)),"",COUNT($CZ$4:CZ189))</f>
        <v/>
      </c>
      <c r="CX189" s="7" t="e">
        <f t="shared" si="154"/>
        <v>#VALUE!</v>
      </c>
      <c r="CY189" s="1" t="str">
        <f t="shared" si="155"/>
        <v/>
      </c>
      <c r="CZ189" s="79" t="e">
        <f>IF(IF(COUNTIF($CZ$4:CZ188,CZ184)&gt;=MAX($D$4:$D$8),CZ184+5,CZ184)&gt;55,"",IF(COUNTIF($CZ$4:CZ188,CZ184)&gt;=MAX($D$4:$D$8),CZ184+5,CZ184))</f>
        <v>#VALUE!</v>
      </c>
      <c r="DA189" s="1" t="e">
        <f t="shared" si="139"/>
        <v>#VALUE!</v>
      </c>
      <c r="DB189" s="8" t="str">
        <f t="shared" si="156"/>
        <v/>
      </c>
    </row>
    <row r="190" spans="5:106" x14ac:dyDescent="0.15">
      <c r="E190" s="1">
        <v>187</v>
      </c>
      <c r="F190" s="1">
        <f t="shared" si="140"/>
        <v>1</v>
      </c>
      <c r="G190" s="1">
        <f t="shared" si="147"/>
        <v>1</v>
      </c>
      <c r="H190" s="1">
        <f t="shared" si="141"/>
        <v>1</v>
      </c>
      <c r="I190" s="1">
        <f t="shared" si="142"/>
        <v>1</v>
      </c>
      <c r="J190" s="1">
        <f t="shared" si="148"/>
        <v>1</v>
      </c>
      <c r="L190" s="1" t="str">
        <f>IF(ISERROR(HLOOKUP($C$10,$F$3:$J$253,188,0)),"",HLOOKUP($C$10,$F$3:$J$253,188,0))</f>
        <v/>
      </c>
      <c r="N190" s="67"/>
      <c r="W190" s="71" t="e">
        <f>IF(AA190="","",AA190*10+2)</f>
        <v>#VALUE!</v>
      </c>
      <c r="X190" s="71" t="str">
        <f>IF(OR(COUNTBLANK(AA190)=1,ISERROR(AA190)),"",COUNT(AA4:AA190))</f>
        <v/>
      </c>
      <c r="Y190" s="7" t="e">
        <f t="shared" si="113"/>
        <v>#VALUE!</v>
      </c>
      <c r="Z190" s="1" t="str">
        <f t="shared" si="127"/>
        <v/>
      </c>
      <c r="AA190" s="79" t="e">
        <f>IF(IF(COUNTIF(AA4:AA189,AA189)&gt;=MAX(D4:D8),AA189+1,AA189)&gt;50,"",IF(COUNTIF(AA4:AA189,AA189)&gt;=MAX(D4:D8),AA189+1,AA189))</f>
        <v>#VALUE!</v>
      </c>
      <c r="AB190" s="1" t="e">
        <f>IF(AA190="","",VLOOKUP(AA190,S4:U53,3,0))</f>
        <v>#VALUE!</v>
      </c>
      <c r="AC190" s="8" t="str">
        <f t="shared" si="114"/>
        <v/>
      </c>
      <c r="AE190" s="71" t="e">
        <f t="shared" si="115"/>
        <v>#VALUE!</v>
      </c>
      <c r="AF190" s="71" t="str">
        <f>IF(OR(COUNTBLANK(AI190)=1,ISERROR(AI190)),"",COUNT(AI4:AI190))</f>
        <v/>
      </c>
      <c r="AG190" s="7" t="e">
        <f t="shared" si="116"/>
        <v>#VALUE!</v>
      </c>
      <c r="AH190" s="1" t="str">
        <f>IF(ISERROR(INDEX(C4:C8,MATCH(G190,D4:D8,0))),"",INDEX(C4:C8,MATCH(G190,D4:D8,0)))</f>
        <v/>
      </c>
      <c r="AI190" s="79" t="e">
        <f>IF(IF(COUNTIF(AI4:AI189,AI188)&gt;=MAX(D4:D8),AI188+2,AI188)&gt;50,"",IF(COUNTIF(AI4:AI189,AI188)&gt;=MAX(D4:D8),AI188+2,AI188))</f>
        <v>#VALUE!</v>
      </c>
      <c r="AJ190" s="1" t="e">
        <f>IF(AI190="","",VLOOKUP(AI190,S4:U53,3,0))</f>
        <v>#VALUE!</v>
      </c>
      <c r="AK190" s="8" t="str">
        <f t="shared" si="117"/>
        <v/>
      </c>
      <c r="AM190" s="71" t="e">
        <f t="shared" si="118"/>
        <v>#VALUE!</v>
      </c>
      <c r="AN190" s="71" t="str">
        <f>IF(OR(COUNTBLANK(AQ190)=1,ISERROR(AQ190)),"",COUNT(AQ4:AQ190))</f>
        <v/>
      </c>
      <c r="AO190" s="7" t="e">
        <f t="shared" si="119"/>
        <v>#VALUE!</v>
      </c>
      <c r="AP190" s="1" t="str">
        <f>IF(ISERROR(INDEX(C4:C8,MATCH(H190,D4:D8,0))),"",INDEX(C4:C8,MATCH(H190,D4:D8,0)))</f>
        <v/>
      </c>
      <c r="AQ190" s="79" t="e">
        <f>IF(IF(COUNTIF(AQ4:AQ189,AQ187)&gt;=MAX(D4:D8),AQ187+3,AQ187)&gt;50,"",IF(COUNTIF(AQ4:AQ189,AQ187)&gt;=MAX(D4:D8),AQ187+3,AQ187))</f>
        <v>#VALUE!</v>
      </c>
      <c r="AR190" s="1" t="e">
        <f>IF(AQ190="","",VLOOKUP(AQ190,S4:U53,3,0))</f>
        <v>#VALUE!</v>
      </c>
      <c r="AS190" s="8" t="str">
        <f t="shared" si="120"/>
        <v/>
      </c>
      <c r="AU190" s="71" t="e">
        <f t="shared" si="121"/>
        <v>#VALUE!</v>
      </c>
      <c r="AV190" s="71" t="str">
        <f>IF(OR(COUNTBLANK(AY190)=1,ISERROR(AY190)),"",COUNT(AY4:AY190))</f>
        <v/>
      </c>
      <c r="AW190" s="7" t="e">
        <f t="shared" si="122"/>
        <v>#VALUE!</v>
      </c>
      <c r="AX190" s="1" t="str">
        <f>IF(ISERROR(INDEX(C4:C8,MATCH(I190,D4:D8,0))),"",INDEX(C4:C8,MATCH(I190,D4:D8,0)))</f>
        <v/>
      </c>
      <c r="AY190" s="79" t="e">
        <f>IF(IF(COUNTIF(AY4:AY189,AY186)&gt;=MAX(D4:D8),AY186+4,AY186)&gt;50,"",IF(COUNTIF(AY4:AY189,AY186)&gt;=MAX(D4:D8),AY186+4,AY186))</f>
        <v>#VALUE!</v>
      </c>
      <c r="AZ190" s="76" t="e">
        <f>IF(AY190="","",VLOOKUP(AY190,S4:U53,3,0))</f>
        <v>#VALUE!</v>
      </c>
      <c r="BA190" s="8" t="str">
        <f t="shared" si="123"/>
        <v/>
      </c>
      <c r="BC190" s="71" t="e">
        <f t="shared" si="124"/>
        <v>#VALUE!</v>
      </c>
      <c r="BD190" s="71" t="str">
        <f>IF(OR(COUNTBLANK(BG190)=1,ISERROR(BG190)),"",COUNT(BG4:BG190))</f>
        <v/>
      </c>
      <c r="BE190" s="7" t="e">
        <f t="shared" si="125"/>
        <v>#VALUE!</v>
      </c>
      <c r="BF190" s="1" t="str">
        <f>IF(ISERROR(INDEX(C4:C8,MATCH(J190,D4:D8,0))),"",INDEX(C4:C8,MATCH(J190,D4:D8,0)))</f>
        <v/>
      </c>
      <c r="BG190" s="79" t="e">
        <f>IF(IF(COUNTIF(BG4:BG189,BG185)&gt;=MAX(D4:D8),BG185+5,BG185)&gt;50,"",IF(COUNTIF(BG4:BG189,BG185)&gt;=MAX(D4:D8),BG185+5,BG185))</f>
        <v>#VALUE!</v>
      </c>
      <c r="BH190" s="76" t="e">
        <f>IF(BG190="","",VLOOKUP(BG190,S4:U53,3,0))</f>
        <v>#VALUE!</v>
      </c>
      <c r="BI190" s="8" t="str">
        <f t="shared" si="126"/>
        <v/>
      </c>
      <c r="BP190" s="71" t="e">
        <f>IF(BT190="","",BT190*10+2)</f>
        <v>#VALUE!</v>
      </c>
      <c r="BQ190" s="71" t="str">
        <f>IF(OR(COUNTBLANK(BT190)=1,ISERROR(BT190)),"",COUNT(BT4:BT190))</f>
        <v/>
      </c>
      <c r="BR190" s="7" t="e">
        <f t="shared" si="128"/>
        <v>#VALUE!</v>
      </c>
      <c r="BS190" s="1" t="str">
        <f t="shared" si="129"/>
        <v/>
      </c>
      <c r="BT190" s="79" t="e">
        <f>IF(IF(COUNTIF($BT$4:BT189,BT189)&gt;=MAX($D$4:$D$8),BT189+1,BT189)&gt;55,"",IF(COUNTIF($BT$4:BT189,BT189)&gt;=MAX($D$4:$D$8),BT189+1,BT189))</f>
        <v>#VALUE!</v>
      </c>
      <c r="BU190" s="1" t="e">
        <f t="shared" si="130"/>
        <v>#VALUE!</v>
      </c>
      <c r="BV190" s="8" t="str">
        <f t="shared" si="131"/>
        <v/>
      </c>
      <c r="BX190" s="71" t="e">
        <f t="shared" si="132"/>
        <v>#VALUE!</v>
      </c>
      <c r="BY190" s="71" t="str">
        <f>IF(OR(COUNTBLANK(CB190)=1,ISERROR(CB190)),"",COUNT($CB$4:CB190))</f>
        <v/>
      </c>
      <c r="BZ190" s="7" t="e">
        <f t="shared" si="133"/>
        <v>#VALUE!</v>
      </c>
      <c r="CA190" s="1" t="str">
        <f t="shared" si="134"/>
        <v/>
      </c>
      <c r="CB190" s="79" t="e">
        <f>IF(IF(COUNTIF($CB$4:CB189,CB188)&gt;=MAX($D$4:$D$8),CB188+2,CB188)&gt;55,"",IF(COUNTIF($CB$4:CB189,CB188)&gt;=MAX($D$4:$D$8),CB188+2,CB188))</f>
        <v>#VALUE!</v>
      </c>
      <c r="CC190" s="1" t="e">
        <f t="shared" si="135"/>
        <v>#VALUE!</v>
      </c>
      <c r="CD190" s="8" t="str">
        <f t="shared" si="136"/>
        <v/>
      </c>
      <c r="CF190" s="71" t="e">
        <f t="shared" si="149"/>
        <v>#VALUE!</v>
      </c>
      <c r="CG190" s="71" t="str">
        <f>IF(OR(COUNTBLANK(CJ190)=1,ISERROR(CJ190)),"",COUNT($CJ$4:CJ190))</f>
        <v/>
      </c>
      <c r="CH190" s="7" t="e">
        <f t="shared" si="150"/>
        <v>#VALUE!</v>
      </c>
      <c r="CI190" s="1" t="str">
        <f t="shared" si="151"/>
        <v/>
      </c>
      <c r="CJ190" s="79" t="e">
        <f>IF(IF(COUNTIF($CJ$4:CJ189,CJ187)&gt;=MAX($D$4:$D$8),CJ187+3,CJ187)&gt;55,"",IF(COUNTIF($CJ$4:CJ189,CJ187)&gt;=MAX($D$4:$D$8),CJ187+3,CJ187))</f>
        <v>#VALUE!</v>
      </c>
      <c r="CK190" s="1" t="e">
        <f t="shared" si="137"/>
        <v>#VALUE!</v>
      </c>
      <c r="CL190" s="8" t="str">
        <f t="shared" si="152"/>
        <v/>
      </c>
      <c r="CN190" s="71" t="e">
        <f t="shared" si="143"/>
        <v>#VALUE!</v>
      </c>
      <c r="CO190" s="71" t="str">
        <f>IF(OR(COUNTBLANK(CR190)=1,ISERROR(CR190)),"",COUNT($CR$4:CR190))</f>
        <v/>
      </c>
      <c r="CP190" s="7" t="e">
        <f t="shared" si="144"/>
        <v>#VALUE!</v>
      </c>
      <c r="CQ190" s="1" t="str">
        <f t="shared" si="145"/>
        <v/>
      </c>
      <c r="CR190" s="79" t="e">
        <f>IF(IF(COUNTIF($CR$4:CR189,CR186)&gt;=MAX($D$4:$D$8),CR186+4,CR186)&gt;55,"",IF(COUNTIF($CR$4:CR189,CR186)&gt;=MAX($D$4:$D$8),CR186+4,CR186))</f>
        <v>#VALUE!</v>
      </c>
      <c r="CS190" s="1" t="e">
        <f t="shared" si="138"/>
        <v>#VALUE!</v>
      </c>
      <c r="CT190" s="8" t="str">
        <f t="shared" si="146"/>
        <v/>
      </c>
      <c r="CV190" s="71" t="e">
        <f t="shared" si="153"/>
        <v>#VALUE!</v>
      </c>
      <c r="CW190" s="71" t="str">
        <f>IF(OR(COUNTBLANK(CZ190)=1,ISERROR(CZ190)),"",COUNT($CZ$4:CZ190))</f>
        <v/>
      </c>
      <c r="CX190" s="7" t="e">
        <f t="shared" si="154"/>
        <v>#VALUE!</v>
      </c>
      <c r="CY190" s="1" t="str">
        <f t="shared" si="155"/>
        <v/>
      </c>
      <c r="CZ190" s="79" t="e">
        <f>IF(IF(COUNTIF($CZ$4:CZ189,CZ185)&gt;=MAX($D$4:$D$8),CZ185+5,CZ185)&gt;55,"",IF(COUNTIF($CZ$4:CZ189,CZ185)&gt;=MAX($D$4:$D$8),CZ185+5,CZ185))</f>
        <v>#VALUE!</v>
      </c>
      <c r="DA190" s="1" t="e">
        <f t="shared" si="139"/>
        <v>#VALUE!</v>
      </c>
      <c r="DB190" s="8" t="str">
        <f t="shared" si="156"/>
        <v/>
      </c>
    </row>
    <row r="191" spans="5:106" x14ac:dyDescent="0.15">
      <c r="E191" s="1">
        <v>188</v>
      </c>
      <c r="F191" s="1">
        <f t="shared" si="140"/>
        <v>1</v>
      </c>
      <c r="G191" s="1">
        <f t="shared" si="147"/>
        <v>1</v>
      </c>
      <c r="H191" s="1">
        <f t="shared" si="141"/>
        <v>1</v>
      </c>
      <c r="I191" s="1">
        <f t="shared" si="142"/>
        <v>1</v>
      </c>
      <c r="J191" s="1">
        <f t="shared" si="148"/>
        <v>1</v>
      </c>
      <c r="L191" s="1" t="str">
        <f>IF(ISERROR(HLOOKUP($C$10,$F$3:$J$253,189,0)),"",HLOOKUP($C$10,$F$3:$J$253,189,0))</f>
        <v/>
      </c>
      <c r="N191" s="67"/>
      <c r="W191" s="71" t="e">
        <f>IF(AA191="","",AA191*10+3)</f>
        <v>#VALUE!</v>
      </c>
      <c r="X191" s="71" t="str">
        <f>IF(OR(COUNTBLANK(AA191)=1,ISERROR(AA191)),"",COUNT(AA4:AA191))</f>
        <v/>
      </c>
      <c r="Y191" s="7" t="e">
        <f t="shared" si="113"/>
        <v>#VALUE!</v>
      </c>
      <c r="Z191" s="1" t="str">
        <f t="shared" si="127"/>
        <v/>
      </c>
      <c r="AA191" s="79" t="e">
        <f>IF(IF(COUNTIF(AA4:AA190,AA190)&gt;=MAX(D4:D8),AA190+1,AA190)&gt;50,"",IF(COUNTIF(AA4:AA190,AA190)&gt;=MAX(D4:D8),AA190+1,AA190))</f>
        <v>#VALUE!</v>
      </c>
      <c r="AB191" s="1" t="e">
        <f>IF(AA191="","",VLOOKUP(AA191,S4:U53,3,0))</f>
        <v>#VALUE!</v>
      </c>
      <c r="AC191" s="8" t="str">
        <f t="shared" si="114"/>
        <v/>
      </c>
      <c r="AE191" s="71" t="e">
        <f t="shared" si="115"/>
        <v>#VALUE!</v>
      </c>
      <c r="AF191" s="71" t="str">
        <f>IF(OR(COUNTBLANK(AI191)=1,ISERROR(AI191)),"",COUNT(AI4:AI191))</f>
        <v/>
      </c>
      <c r="AG191" s="7" t="e">
        <f t="shared" si="116"/>
        <v>#VALUE!</v>
      </c>
      <c r="AH191" s="1" t="str">
        <f>IF(ISERROR(INDEX(C4:C8,MATCH(G191,D4:D8,0))),"",INDEX(C4:C8,MATCH(G191,D4:D8,0)))</f>
        <v/>
      </c>
      <c r="AI191" s="79" t="e">
        <f>IF(IF(COUNTIF(AI4:AI189,AI189)&gt;=MAX(D4:D8),AI189+2,AI189)&gt;50,"",IF(COUNTIF(AI4:AI189,AI189)&gt;=MAX(D4:D8),AI189+2,AI189))</f>
        <v>#VALUE!</v>
      </c>
      <c r="AJ191" s="1" t="e">
        <f>IF(AI191="","",VLOOKUP(AI191,S4:U53,3,0))</f>
        <v>#VALUE!</v>
      </c>
      <c r="AK191" s="8" t="str">
        <f t="shared" si="117"/>
        <v/>
      </c>
      <c r="AM191" s="71" t="e">
        <f t="shared" si="118"/>
        <v>#VALUE!</v>
      </c>
      <c r="AN191" s="71" t="str">
        <f>IF(OR(COUNTBLANK(AQ191)=1,ISERROR(AQ191)),"",COUNT(AQ4:AQ191))</f>
        <v/>
      </c>
      <c r="AO191" s="7" t="e">
        <f t="shared" si="119"/>
        <v>#VALUE!</v>
      </c>
      <c r="AP191" s="1" t="str">
        <f>IF(ISERROR(INDEX(C4:C8,MATCH(H191,D4:D8,0))),"",INDEX(C4:C8,MATCH(H191,D4:D8,0)))</f>
        <v/>
      </c>
      <c r="AQ191" s="79" t="e">
        <f>IF(IF(COUNTIF(AQ4:AQ190,AQ188)&gt;=MAX(D4:D8),AQ188+3,AQ188)&gt;50,"",IF(COUNTIF(AQ4:AQ190,AQ188)&gt;=MAX(D4:D8),AQ188+3,AQ188))</f>
        <v>#VALUE!</v>
      </c>
      <c r="AR191" s="1" t="e">
        <f>IF(AQ191="","",VLOOKUP(AQ191,S4:U53,3,0))</f>
        <v>#VALUE!</v>
      </c>
      <c r="AS191" s="8" t="str">
        <f t="shared" si="120"/>
        <v/>
      </c>
      <c r="AU191" s="71" t="e">
        <f t="shared" si="121"/>
        <v>#VALUE!</v>
      </c>
      <c r="AV191" s="71" t="str">
        <f>IF(OR(COUNTBLANK(AY191)=1,ISERROR(AY191)),"",COUNT(AY4:AY191))</f>
        <v/>
      </c>
      <c r="AW191" s="7" t="e">
        <f t="shared" si="122"/>
        <v>#VALUE!</v>
      </c>
      <c r="AX191" s="1" t="str">
        <f>IF(ISERROR(INDEX(C4:C8,MATCH(I191,D4:D8,0))),"",INDEX(C4:C8,MATCH(I191,D4:D8,0)))</f>
        <v/>
      </c>
      <c r="AY191" s="79" t="e">
        <f>IF(IF(COUNTIF(AY4:AY190,AY187)&gt;=MAX(D4:D8),AY187+4,AY187)&gt;50,"",IF(COUNTIF(AY4:AY190,AY187)&gt;=MAX(D4:D8),AY187+4,AY187))</f>
        <v>#VALUE!</v>
      </c>
      <c r="AZ191" s="76" t="e">
        <f>IF(AY191="","",VLOOKUP(AY191,S4:U53,3,0))</f>
        <v>#VALUE!</v>
      </c>
      <c r="BA191" s="8" t="str">
        <f t="shared" si="123"/>
        <v/>
      </c>
      <c r="BC191" s="71" t="e">
        <f t="shared" si="124"/>
        <v>#VALUE!</v>
      </c>
      <c r="BD191" s="71" t="str">
        <f>IF(OR(COUNTBLANK(BG191)=1,ISERROR(BG191)),"",COUNT(BG4:BG191))</f>
        <v/>
      </c>
      <c r="BE191" s="7" t="e">
        <f t="shared" si="125"/>
        <v>#VALUE!</v>
      </c>
      <c r="BF191" s="1" t="str">
        <f>IF(ISERROR(INDEX(C4:C8,MATCH(J191,D4:D8,0))),"",INDEX(C4:C8,MATCH(J191,D4:D8,0)))</f>
        <v/>
      </c>
      <c r="BG191" s="79" t="e">
        <f>IF(IF(COUNTIF(BG4:BG190,BG186)&gt;=MAX(D4:D8),BG186+5,BG186)&gt;50,"",IF(COUNTIF(BG4:BG190,BG186)&gt;=MAX(D4:D8),BG186+5,BG186))</f>
        <v>#VALUE!</v>
      </c>
      <c r="BH191" s="76" t="e">
        <f>IF(BG191="","",VLOOKUP(BG191,S4:U53,3,0))</f>
        <v>#VALUE!</v>
      </c>
      <c r="BI191" s="8" t="str">
        <f t="shared" si="126"/>
        <v/>
      </c>
      <c r="BP191" s="71" t="e">
        <f>IF(BT191="","",BT191*10+3)</f>
        <v>#VALUE!</v>
      </c>
      <c r="BQ191" s="71" t="str">
        <f>IF(OR(COUNTBLANK(BT191)=1,ISERROR(BT191)),"",COUNT(BT4:BT191))</f>
        <v/>
      </c>
      <c r="BR191" s="7" t="e">
        <f t="shared" si="128"/>
        <v>#VALUE!</v>
      </c>
      <c r="BS191" s="1" t="str">
        <f t="shared" si="129"/>
        <v/>
      </c>
      <c r="BT191" s="79" t="e">
        <f>IF(IF(COUNTIF($BT$4:BT190,BT190)&gt;=MAX($D$4:$D$8),BT190+1,BT190)&gt;55,"",IF(COUNTIF($BT$4:BT190,BT190)&gt;=MAX($D$4:$D$8),BT190+1,BT190))</f>
        <v>#VALUE!</v>
      </c>
      <c r="BU191" s="1" t="e">
        <f t="shared" si="130"/>
        <v>#VALUE!</v>
      </c>
      <c r="BV191" s="8" t="str">
        <f t="shared" si="131"/>
        <v/>
      </c>
      <c r="BX191" s="71" t="e">
        <f t="shared" si="132"/>
        <v>#VALUE!</v>
      </c>
      <c r="BY191" s="71" t="str">
        <f>IF(OR(COUNTBLANK(CB191)=1,ISERROR(CB191)),"",COUNT($CB$4:CB191))</f>
        <v/>
      </c>
      <c r="BZ191" s="7" t="e">
        <f t="shared" si="133"/>
        <v>#VALUE!</v>
      </c>
      <c r="CA191" s="1" t="str">
        <f t="shared" si="134"/>
        <v/>
      </c>
      <c r="CB191" s="79" t="e">
        <f>IF(IF(COUNTIF($CB$4:CB190,CB189)&gt;=MAX($D$4:$D$8),CB189+2,CB189)&gt;55,"",IF(COUNTIF($CB$4:CB190,CB189)&gt;=MAX($D$4:$D$8),CB189+2,CB189))</f>
        <v>#VALUE!</v>
      </c>
      <c r="CC191" s="1" t="e">
        <f t="shared" si="135"/>
        <v>#VALUE!</v>
      </c>
      <c r="CD191" s="8" t="str">
        <f t="shared" si="136"/>
        <v/>
      </c>
      <c r="CF191" s="71" t="e">
        <f t="shared" si="149"/>
        <v>#VALUE!</v>
      </c>
      <c r="CG191" s="71" t="str">
        <f>IF(OR(COUNTBLANK(CJ191)=1,ISERROR(CJ191)),"",COUNT($CJ$4:CJ191))</f>
        <v/>
      </c>
      <c r="CH191" s="7" t="e">
        <f t="shared" si="150"/>
        <v>#VALUE!</v>
      </c>
      <c r="CI191" s="1" t="str">
        <f t="shared" si="151"/>
        <v/>
      </c>
      <c r="CJ191" s="79" t="e">
        <f>IF(IF(COUNTIF($CJ$4:CJ190,CJ188)&gt;=MAX($D$4:$D$8),CJ188+3,CJ188)&gt;55,"",IF(COUNTIF($CJ$4:CJ190,CJ188)&gt;=MAX($D$4:$D$8),CJ188+3,CJ188))</f>
        <v>#VALUE!</v>
      </c>
      <c r="CK191" s="1" t="e">
        <f t="shared" si="137"/>
        <v>#VALUE!</v>
      </c>
      <c r="CL191" s="8" t="str">
        <f t="shared" si="152"/>
        <v/>
      </c>
      <c r="CN191" s="71" t="e">
        <f t="shared" si="143"/>
        <v>#VALUE!</v>
      </c>
      <c r="CO191" s="71" t="str">
        <f>IF(OR(COUNTBLANK(CR191)=1,ISERROR(CR191)),"",COUNT($CR$4:CR191))</f>
        <v/>
      </c>
      <c r="CP191" s="7" t="e">
        <f t="shared" si="144"/>
        <v>#VALUE!</v>
      </c>
      <c r="CQ191" s="1" t="str">
        <f t="shared" si="145"/>
        <v/>
      </c>
      <c r="CR191" s="79" t="e">
        <f>IF(IF(COUNTIF($CR$4:CR190,CR187)&gt;=MAX($D$4:$D$8),CR187+4,CR187)&gt;55,"",IF(COUNTIF($CR$4:CR190,CR187)&gt;=MAX($D$4:$D$8),CR187+4,CR187))</f>
        <v>#VALUE!</v>
      </c>
      <c r="CS191" s="1" t="e">
        <f t="shared" si="138"/>
        <v>#VALUE!</v>
      </c>
      <c r="CT191" s="8" t="str">
        <f t="shared" si="146"/>
        <v/>
      </c>
      <c r="CV191" s="71" t="e">
        <f t="shared" si="153"/>
        <v>#VALUE!</v>
      </c>
      <c r="CW191" s="71" t="str">
        <f>IF(OR(COUNTBLANK(CZ191)=1,ISERROR(CZ191)),"",COUNT($CZ$4:CZ191))</f>
        <v/>
      </c>
      <c r="CX191" s="7" t="e">
        <f t="shared" si="154"/>
        <v>#VALUE!</v>
      </c>
      <c r="CY191" s="1" t="str">
        <f t="shared" si="155"/>
        <v/>
      </c>
      <c r="CZ191" s="79" t="e">
        <f>IF(IF(COUNTIF($CZ$4:CZ190,CZ186)&gt;=MAX($D$4:$D$8),CZ186+5,CZ186)&gt;55,"",IF(COUNTIF($CZ$4:CZ190,CZ186)&gt;=MAX($D$4:$D$8),CZ186+5,CZ186))</f>
        <v>#VALUE!</v>
      </c>
      <c r="DA191" s="1" t="e">
        <f t="shared" si="139"/>
        <v>#VALUE!</v>
      </c>
      <c r="DB191" s="8" t="str">
        <f t="shared" si="156"/>
        <v/>
      </c>
    </row>
    <row r="192" spans="5:106" x14ac:dyDescent="0.15">
      <c r="E192" s="1">
        <v>189</v>
      </c>
      <c r="F192" s="1">
        <f t="shared" si="140"/>
        <v>1</v>
      </c>
      <c r="G192" s="1">
        <f t="shared" si="147"/>
        <v>1</v>
      </c>
      <c r="H192" s="1">
        <f t="shared" si="141"/>
        <v>1</v>
      </c>
      <c r="I192" s="1">
        <f t="shared" si="142"/>
        <v>1</v>
      </c>
      <c r="J192" s="1">
        <f t="shared" si="148"/>
        <v>1</v>
      </c>
      <c r="L192" s="1" t="str">
        <f>IF(ISERROR(HLOOKUP($C$10,$F$3:$J$253,190,0)),"",HLOOKUP($C$10,$F$3:$J$253,190,0))</f>
        <v/>
      </c>
      <c r="N192" s="67"/>
      <c r="W192" s="71" t="e">
        <f>IF(AA192="","",AA192*10+4)</f>
        <v>#VALUE!</v>
      </c>
      <c r="X192" s="71" t="str">
        <f>IF(OR(COUNTBLANK(AA192)=1,ISERROR(AA192)),"",COUNT(AA4:AA192))</f>
        <v/>
      </c>
      <c r="Y192" s="7" t="e">
        <f t="shared" si="113"/>
        <v>#VALUE!</v>
      </c>
      <c r="Z192" s="1" t="str">
        <f t="shared" si="127"/>
        <v/>
      </c>
      <c r="AA192" s="79" t="e">
        <f>IF(IF(COUNTIF(AA4:AA191,AA191)&gt;=MAX(D4:D8),AA191+1,AA191)&gt;50,"",IF(COUNTIF(AA4:AA191,AA191)&gt;=MAX(D4:D8),AA191+1,AA191))</f>
        <v>#VALUE!</v>
      </c>
      <c r="AB192" s="1" t="e">
        <f>IF(AA192="","",VLOOKUP(AA192,S4:U53,3,0))</f>
        <v>#VALUE!</v>
      </c>
      <c r="AC192" s="8" t="str">
        <f t="shared" si="114"/>
        <v/>
      </c>
      <c r="AE192" s="71" t="e">
        <f t="shared" si="115"/>
        <v>#VALUE!</v>
      </c>
      <c r="AF192" s="71" t="str">
        <f>IF(OR(COUNTBLANK(AI192)=1,ISERROR(AI192)),"",COUNT(AI4:AI192))</f>
        <v/>
      </c>
      <c r="AG192" s="7" t="e">
        <f t="shared" si="116"/>
        <v>#VALUE!</v>
      </c>
      <c r="AH192" s="1" t="str">
        <f>IF(ISERROR(INDEX(C4:C8,MATCH(G192,D4:D8,0))),"",INDEX(C4:C8,MATCH(G192,D4:D8,0)))</f>
        <v/>
      </c>
      <c r="AI192" s="79" t="e">
        <f>IF(IF(COUNTIF(AI4:AI191,AI190)&gt;=MAX(D4:D8),AI190+2,AI190)&gt;50,"",IF(COUNTIF(AI4:AI191,AI190)&gt;=MAX(D4:D8),AI190+2,AI190))</f>
        <v>#VALUE!</v>
      </c>
      <c r="AJ192" s="1" t="e">
        <f>IF(AI192="","",VLOOKUP(AI192,S4:U53,3,0))</f>
        <v>#VALUE!</v>
      </c>
      <c r="AK192" s="8" t="str">
        <f t="shared" si="117"/>
        <v/>
      </c>
      <c r="AM192" s="71" t="e">
        <f t="shared" si="118"/>
        <v>#VALUE!</v>
      </c>
      <c r="AN192" s="71" t="str">
        <f>IF(OR(COUNTBLANK(AQ192)=1,ISERROR(AQ192)),"",COUNT(AQ4:AQ192))</f>
        <v/>
      </c>
      <c r="AO192" s="7" t="e">
        <f t="shared" si="119"/>
        <v>#VALUE!</v>
      </c>
      <c r="AP192" s="1" t="str">
        <f>IF(ISERROR(INDEX(C4:C8,MATCH(H192,D4:D8,0))),"",INDEX(C4:C8,MATCH(H192,D4:D8,0)))</f>
        <v/>
      </c>
      <c r="AQ192" s="79" t="e">
        <f>IF(IF(COUNTIF(AQ4:AQ191,AQ189)&gt;=MAX(D4:D8),AQ189+3,AQ189)&gt;50,"",IF(COUNTIF(AQ4:AQ191,AQ189)&gt;=MAX(D4:D8),AQ189+3,AQ189))</f>
        <v>#VALUE!</v>
      </c>
      <c r="AR192" s="1" t="e">
        <f>IF(AQ192="","",VLOOKUP(AQ192,S4:U53,3,0))</f>
        <v>#VALUE!</v>
      </c>
      <c r="AS192" s="8" t="str">
        <f t="shared" si="120"/>
        <v/>
      </c>
      <c r="AU192" s="71" t="e">
        <f t="shared" si="121"/>
        <v>#VALUE!</v>
      </c>
      <c r="AV192" s="71" t="str">
        <f>IF(OR(COUNTBLANK(AY192)=1,ISERROR(AY192)),"",COUNT(AY4:AY192))</f>
        <v/>
      </c>
      <c r="AW192" s="7" t="e">
        <f t="shared" si="122"/>
        <v>#VALUE!</v>
      </c>
      <c r="AX192" s="1" t="str">
        <f>IF(ISERROR(INDEX(C4:C8,MATCH(I192,D4:D8,0))),"",INDEX(C4:C8,MATCH(I192,D4:D8,0)))</f>
        <v/>
      </c>
      <c r="AY192" s="79" t="e">
        <f>IF(IF(COUNTIF(AY4:AY191,AY188)&gt;=MAX(D4:D8),AY188+4,AY188)&gt;50,"",IF(COUNTIF(AY4:AY191,AY188)&gt;=MAX(D4:D8),AY188+4,AY188))</f>
        <v>#VALUE!</v>
      </c>
      <c r="AZ192" s="76" t="e">
        <f>IF(AY192="","",VLOOKUP(AY192,S4:U53,3,0))</f>
        <v>#VALUE!</v>
      </c>
      <c r="BA192" s="8" t="str">
        <f t="shared" si="123"/>
        <v/>
      </c>
      <c r="BC192" s="71" t="e">
        <f t="shared" si="124"/>
        <v>#VALUE!</v>
      </c>
      <c r="BD192" s="71" t="str">
        <f>IF(OR(COUNTBLANK(BG192)=1,ISERROR(BG192)),"",COUNT(BG4:BG192))</f>
        <v/>
      </c>
      <c r="BE192" s="7" t="e">
        <f t="shared" si="125"/>
        <v>#VALUE!</v>
      </c>
      <c r="BF192" s="1" t="str">
        <f>IF(ISERROR(INDEX(C4:C8,MATCH(J192,D4:D8,0))),"",INDEX(C4:C8,MATCH(J192,D4:D8,0)))</f>
        <v/>
      </c>
      <c r="BG192" s="79" t="e">
        <f>IF(IF(COUNTIF(BG4:BG191,BG187)&gt;=MAX(D4:D8),BG187+5,BG187)&gt;50,"",IF(COUNTIF(BG4:BG191,BG187)&gt;=MAX(D4:D8),BG187+5,BG187))</f>
        <v>#VALUE!</v>
      </c>
      <c r="BH192" s="76" t="e">
        <f>IF(BG192="","",VLOOKUP(BG192,S4:U53,3,0))</f>
        <v>#VALUE!</v>
      </c>
      <c r="BI192" s="8" t="str">
        <f t="shared" si="126"/>
        <v/>
      </c>
      <c r="BP192" s="71" t="e">
        <f>IF(BT192="","",BT192*10+4)</f>
        <v>#VALUE!</v>
      </c>
      <c r="BQ192" s="71" t="str">
        <f>IF(OR(COUNTBLANK(BT192)=1,ISERROR(BT192)),"",COUNT(BT4:BT192))</f>
        <v/>
      </c>
      <c r="BR192" s="7" t="e">
        <f t="shared" si="128"/>
        <v>#VALUE!</v>
      </c>
      <c r="BS192" s="1" t="str">
        <f t="shared" si="129"/>
        <v/>
      </c>
      <c r="BT192" s="79" t="e">
        <f>IF(IF(COUNTIF($BT$4:BT191,BT191)&gt;=MAX($D$4:$D$8),BT191+1,BT191)&gt;55,"",IF(COUNTIF($BT$4:BT191,BT191)&gt;=MAX($D$4:$D$8),BT191+1,BT191))</f>
        <v>#VALUE!</v>
      </c>
      <c r="BU192" s="1" t="e">
        <f t="shared" si="130"/>
        <v>#VALUE!</v>
      </c>
      <c r="BV192" s="8" t="str">
        <f t="shared" si="131"/>
        <v/>
      </c>
      <c r="BX192" s="71" t="e">
        <f t="shared" si="132"/>
        <v>#VALUE!</v>
      </c>
      <c r="BY192" s="71" t="str">
        <f>IF(OR(COUNTBLANK(CB192)=1,ISERROR(CB192)),"",COUNT($CB$4:CB192))</f>
        <v/>
      </c>
      <c r="BZ192" s="7" t="e">
        <f t="shared" si="133"/>
        <v>#VALUE!</v>
      </c>
      <c r="CA192" s="1" t="str">
        <f t="shared" si="134"/>
        <v/>
      </c>
      <c r="CB192" s="79" t="e">
        <f>IF(IF(COUNTIF($CB$4:CB191,CB190)&gt;=MAX($D$4:$D$8),CB190+2,CB190)&gt;55,"",IF(COUNTIF($CB$4:CB191,CB190)&gt;=MAX($D$4:$D$8),CB190+2,CB190))</f>
        <v>#VALUE!</v>
      </c>
      <c r="CC192" s="1" t="e">
        <f t="shared" si="135"/>
        <v>#VALUE!</v>
      </c>
      <c r="CD192" s="8" t="str">
        <f t="shared" si="136"/>
        <v/>
      </c>
      <c r="CF192" s="71" t="e">
        <f t="shared" si="149"/>
        <v>#VALUE!</v>
      </c>
      <c r="CG192" s="71" t="str">
        <f>IF(OR(COUNTBLANK(CJ192)=1,ISERROR(CJ192)),"",COUNT($CJ$4:CJ192))</f>
        <v/>
      </c>
      <c r="CH192" s="7" t="e">
        <f t="shared" si="150"/>
        <v>#VALUE!</v>
      </c>
      <c r="CI192" s="1" t="str">
        <f t="shared" si="151"/>
        <v/>
      </c>
      <c r="CJ192" s="79" t="e">
        <f>IF(IF(COUNTIF($CJ$4:CJ191,CJ189)&gt;=MAX($D$4:$D$8),CJ189+3,CJ189)&gt;55,"",IF(COUNTIF($CJ$4:CJ191,CJ189)&gt;=MAX($D$4:$D$8),CJ189+3,CJ189))</f>
        <v>#VALUE!</v>
      </c>
      <c r="CK192" s="1" t="e">
        <f t="shared" si="137"/>
        <v>#VALUE!</v>
      </c>
      <c r="CL192" s="8" t="str">
        <f t="shared" si="152"/>
        <v/>
      </c>
      <c r="CN192" s="71" t="e">
        <f t="shared" si="143"/>
        <v>#VALUE!</v>
      </c>
      <c r="CO192" s="71" t="str">
        <f>IF(OR(COUNTBLANK(CR192)=1,ISERROR(CR192)),"",COUNT($CR$4:CR192))</f>
        <v/>
      </c>
      <c r="CP192" s="7" t="e">
        <f t="shared" si="144"/>
        <v>#VALUE!</v>
      </c>
      <c r="CQ192" s="1" t="str">
        <f t="shared" si="145"/>
        <v/>
      </c>
      <c r="CR192" s="79" t="e">
        <f>IF(IF(COUNTIF($CR$4:CR191,CR188)&gt;=MAX($D$4:$D$8),CR188+4,CR188)&gt;55,"",IF(COUNTIF($CR$4:CR191,CR188)&gt;=MAX($D$4:$D$8),CR188+4,CR188))</f>
        <v>#VALUE!</v>
      </c>
      <c r="CS192" s="1" t="e">
        <f t="shared" si="138"/>
        <v>#VALUE!</v>
      </c>
      <c r="CT192" s="8" t="str">
        <f t="shared" si="146"/>
        <v/>
      </c>
      <c r="CV192" s="71" t="e">
        <f t="shared" si="153"/>
        <v>#VALUE!</v>
      </c>
      <c r="CW192" s="71" t="str">
        <f>IF(OR(COUNTBLANK(CZ192)=1,ISERROR(CZ192)),"",COUNT($CZ$4:CZ192))</f>
        <v/>
      </c>
      <c r="CX192" s="7" t="e">
        <f t="shared" si="154"/>
        <v>#VALUE!</v>
      </c>
      <c r="CY192" s="1" t="str">
        <f t="shared" si="155"/>
        <v/>
      </c>
      <c r="CZ192" s="79" t="e">
        <f>IF(IF(COUNTIF($CZ$4:CZ191,CZ187)&gt;=MAX($D$4:$D$8),CZ187+5,CZ187)&gt;55,"",IF(COUNTIF($CZ$4:CZ191,CZ187)&gt;=MAX($D$4:$D$8),CZ187+5,CZ187))</f>
        <v>#VALUE!</v>
      </c>
      <c r="DA192" s="1" t="e">
        <f t="shared" si="139"/>
        <v>#VALUE!</v>
      </c>
      <c r="DB192" s="8" t="str">
        <f t="shared" si="156"/>
        <v/>
      </c>
    </row>
    <row r="193" spans="5:106" x14ac:dyDescent="0.15">
      <c r="E193" s="1">
        <v>190</v>
      </c>
      <c r="F193" s="1">
        <f t="shared" si="140"/>
        <v>1</v>
      </c>
      <c r="G193" s="1">
        <f t="shared" si="147"/>
        <v>1</v>
      </c>
      <c r="H193" s="1">
        <f t="shared" si="141"/>
        <v>1</v>
      </c>
      <c r="I193" s="1">
        <f t="shared" si="142"/>
        <v>1</v>
      </c>
      <c r="J193" s="1">
        <f t="shared" si="148"/>
        <v>1</v>
      </c>
      <c r="L193" s="1" t="str">
        <f>IF(ISERROR(HLOOKUP($C$10,$F$3:$J$253,191,0)),"",HLOOKUP($C$10,$F$3:$J$253,191,0))</f>
        <v/>
      </c>
      <c r="N193" s="67"/>
      <c r="W193" s="71" t="e">
        <f>IF(AA193="","",AA193*10+5)</f>
        <v>#VALUE!</v>
      </c>
      <c r="X193" s="71" t="str">
        <f>IF(OR(COUNTBLANK(AA193)=1,ISERROR(AA193)),"",COUNT(AA4:AA193))</f>
        <v/>
      </c>
      <c r="Y193" s="7" t="e">
        <f t="shared" si="113"/>
        <v>#VALUE!</v>
      </c>
      <c r="Z193" s="1" t="str">
        <f t="shared" si="127"/>
        <v/>
      </c>
      <c r="AA193" s="79" t="e">
        <f>IF(IF(COUNTIF(AA4:AA192,AA192)&gt;=MAX(D4:D8),AA192+1,AA192)&gt;50,"",IF(COUNTIF(AA4:AA192,AA192)&gt;=MAX(D4:D8),AA192+1,AA192))</f>
        <v>#VALUE!</v>
      </c>
      <c r="AB193" s="1" t="e">
        <f>IF(AA193="","",VLOOKUP(AA193,S4:U53,3,0))</f>
        <v>#VALUE!</v>
      </c>
      <c r="AC193" s="8" t="str">
        <f t="shared" si="114"/>
        <v/>
      </c>
      <c r="AE193" s="71" t="e">
        <f t="shared" si="115"/>
        <v>#VALUE!</v>
      </c>
      <c r="AF193" s="71" t="str">
        <f>IF(OR(COUNTBLANK(AI193)=1,ISERROR(AI193)),"",COUNT(AI4:AI193))</f>
        <v/>
      </c>
      <c r="AG193" s="7" t="e">
        <f t="shared" si="116"/>
        <v>#VALUE!</v>
      </c>
      <c r="AH193" s="1" t="str">
        <f>IF(ISERROR(INDEX(C4:C8,MATCH(G193,D4:D8,0))),"",INDEX(C4:C8,MATCH(G193,D4:D8,0)))</f>
        <v/>
      </c>
      <c r="AI193" s="79" t="e">
        <f>IF(IF(COUNTIF(AI4:AI191,AI191)&gt;=MAX(D4:D8),AI191+2,AI191)&gt;50,"",IF(COUNTIF(AI4:AI191,AI191)&gt;=MAX(D4:D8),AI191+2,AI191))</f>
        <v>#VALUE!</v>
      </c>
      <c r="AJ193" s="1" t="e">
        <f>IF(AI193="","",VLOOKUP(AI193,S4:U53,3,0))</f>
        <v>#VALUE!</v>
      </c>
      <c r="AK193" s="8" t="str">
        <f t="shared" si="117"/>
        <v/>
      </c>
      <c r="AM193" s="71" t="e">
        <f t="shared" si="118"/>
        <v>#VALUE!</v>
      </c>
      <c r="AN193" s="71" t="str">
        <f>IF(OR(COUNTBLANK(AQ193)=1,ISERROR(AQ193)),"",COUNT(AQ4:AQ193))</f>
        <v/>
      </c>
      <c r="AO193" s="7" t="e">
        <f t="shared" si="119"/>
        <v>#VALUE!</v>
      </c>
      <c r="AP193" s="1" t="str">
        <f>IF(ISERROR(INDEX(C4:C8,MATCH(H193,D4:D8,0))),"",INDEX(C4:C8,MATCH(H193,D4:D8,0)))</f>
        <v/>
      </c>
      <c r="AQ193" s="79" t="e">
        <f>IF(IF(COUNTIF(AQ4:AQ192,AQ190)&gt;=MAX(D4:D8),AQ190+3,AQ190)&gt;50,"",IF(COUNTIF(AQ4:AQ192,AQ190)&gt;=MAX(D4:D8),AQ190+3,AQ190))</f>
        <v>#VALUE!</v>
      </c>
      <c r="AR193" s="1" t="e">
        <f>IF(AQ193="","",VLOOKUP(AQ193,S4:U53,3,0))</f>
        <v>#VALUE!</v>
      </c>
      <c r="AS193" s="8" t="str">
        <f t="shared" si="120"/>
        <v/>
      </c>
      <c r="AU193" s="71" t="e">
        <f t="shared" si="121"/>
        <v>#VALUE!</v>
      </c>
      <c r="AV193" s="71" t="str">
        <f>IF(OR(COUNTBLANK(AY193)=1,ISERROR(AY193)),"",COUNT(AY4:AY193))</f>
        <v/>
      </c>
      <c r="AW193" s="7" t="e">
        <f t="shared" si="122"/>
        <v>#VALUE!</v>
      </c>
      <c r="AX193" s="1" t="str">
        <f>IF(ISERROR(INDEX(C4:C8,MATCH(I193,D4:D8,0))),"",INDEX(C4:C8,MATCH(I193,D4:D8,0)))</f>
        <v/>
      </c>
      <c r="AY193" s="79" t="e">
        <f>IF(IF(COUNTIF(AY4:AY192,AY189)&gt;=MAX(D4:D8),AY189+4,AY189)&gt;50,"",IF(COUNTIF(AY4:AY192,AY189)&gt;=MAX(D4:D8),AY189+4,AY189))</f>
        <v>#VALUE!</v>
      </c>
      <c r="AZ193" s="76" t="e">
        <f>IF(AY193="","",VLOOKUP(AY193,S4:U53,3,0))</f>
        <v>#VALUE!</v>
      </c>
      <c r="BA193" s="8" t="str">
        <f t="shared" si="123"/>
        <v/>
      </c>
      <c r="BC193" s="71" t="e">
        <f t="shared" si="124"/>
        <v>#VALUE!</v>
      </c>
      <c r="BD193" s="71" t="str">
        <f>IF(OR(COUNTBLANK(BG193)=1,ISERROR(BG193)),"",COUNT(BG4:BG193))</f>
        <v/>
      </c>
      <c r="BE193" s="7" t="e">
        <f t="shared" si="125"/>
        <v>#VALUE!</v>
      </c>
      <c r="BF193" s="1" t="str">
        <f>IF(ISERROR(INDEX(C4:C8,MATCH(J193,D4:D8,0))),"",INDEX(C4:C8,MATCH(J193,D4:D8,0)))</f>
        <v/>
      </c>
      <c r="BG193" s="79" t="e">
        <f>IF(IF(COUNTIF(BG4:BG192,BG188)&gt;=MAX(D4:D8),BG188+5,BG188)&gt;50,"",IF(COUNTIF(BG4:BG192,BG188)&gt;=MAX(D4:D8),BG188+5,BG188))</f>
        <v>#VALUE!</v>
      </c>
      <c r="BH193" s="76" t="e">
        <f>IF(BG193="","",VLOOKUP(BG193,S4:U53,3,0))</f>
        <v>#VALUE!</v>
      </c>
      <c r="BI193" s="8" t="str">
        <f t="shared" si="126"/>
        <v/>
      </c>
      <c r="BP193" s="71" t="e">
        <f>IF(BT193="","",BT193*10+5)</f>
        <v>#VALUE!</v>
      </c>
      <c r="BQ193" s="71" t="str">
        <f>IF(OR(COUNTBLANK(BT193)=1,ISERROR(BT193)),"",COUNT(BT4:BT193))</f>
        <v/>
      </c>
      <c r="BR193" s="7" t="e">
        <f t="shared" si="128"/>
        <v>#VALUE!</v>
      </c>
      <c r="BS193" s="1" t="str">
        <f t="shared" si="129"/>
        <v/>
      </c>
      <c r="BT193" s="79" t="e">
        <f>IF(IF(COUNTIF($BT$4:BT192,BT192)&gt;=MAX($D$4:$D$8),BT192+1,BT192)&gt;55,"",IF(COUNTIF($BT$4:BT192,BT192)&gt;=MAX($D$4:$D$8),BT192+1,BT192))</f>
        <v>#VALUE!</v>
      </c>
      <c r="BU193" s="1" t="e">
        <f t="shared" si="130"/>
        <v>#VALUE!</v>
      </c>
      <c r="BV193" s="8" t="str">
        <f t="shared" si="131"/>
        <v/>
      </c>
      <c r="BX193" s="71" t="e">
        <f t="shared" si="132"/>
        <v>#VALUE!</v>
      </c>
      <c r="BY193" s="71" t="str">
        <f>IF(OR(COUNTBLANK(CB193)=1,ISERROR(CB193)),"",COUNT($CB$4:CB193))</f>
        <v/>
      </c>
      <c r="BZ193" s="7" t="e">
        <f t="shared" si="133"/>
        <v>#VALUE!</v>
      </c>
      <c r="CA193" s="1" t="str">
        <f t="shared" si="134"/>
        <v/>
      </c>
      <c r="CB193" s="79" t="e">
        <f>IF(IF(COUNTIF($CB$4:CB192,CB191)&gt;=MAX($D$4:$D$8),CB191+2,CB191)&gt;55,"",IF(COUNTIF($CB$4:CB192,CB191)&gt;=MAX($D$4:$D$8),CB191+2,CB191))</f>
        <v>#VALUE!</v>
      </c>
      <c r="CC193" s="1" t="e">
        <f t="shared" si="135"/>
        <v>#VALUE!</v>
      </c>
      <c r="CD193" s="8" t="str">
        <f t="shared" si="136"/>
        <v/>
      </c>
      <c r="CF193" s="71" t="e">
        <f t="shared" si="149"/>
        <v>#VALUE!</v>
      </c>
      <c r="CG193" s="71" t="str">
        <f>IF(OR(COUNTBLANK(CJ193)=1,ISERROR(CJ193)),"",COUNT($CJ$4:CJ193))</f>
        <v/>
      </c>
      <c r="CH193" s="7" t="e">
        <f t="shared" si="150"/>
        <v>#VALUE!</v>
      </c>
      <c r="CI193" s="1" t="str">
        <f t="shared" si="151"/>
        <v/>
      </c>
      <c r="CJ193" s="79" t="e">
        <f>IF(IF(COUNTIF($CJ$4:CJ192,CJ190)&gt;=MAX($D$4:$D$8),CJ190+3,CJ190)&gt;55,"",IF(COUNTIF($CJ$4:CJ192,CJ190)&gt;=MAX($D$4:$D$8),CJ190+3,CJ190))</f>
        <v>#VALUE!</v>
      </c>
      <c r="CK193" s="1" t="e">
        <f t="shared" si="137"/>
        <v>#VALUE!</v>
      </c>
      <c r="CL193" s="8" t="str">
        <f t="shared" si="152"/>
        <v/>
      </c>
      <c r="CN193" s="71" t="e">
        <f t="shared" si="143"/>
        <v>#VALUE!</v>
      </c>
      <c r="CO193" s="71" t="str">
        <f>IF(OR(COUNTBLANK(CR193)=1,ISERROR(CR193)),"",COUNT($CR$4:CR193))</f>
        <v/>
      </c>
      <c r="CP193" s="7" t="e">
        <f t="shared" si="144"/>
        <v>#VALUE!</v>
      </c>
      <c r="CQ193" s="1" t="str">
        <f t="shared" si="145"/>
        <v/>
      </c>
      <c r="CR193" s="79" t="e">
        <f>IF(IF(COUNTIF($CR$4:CR192,CR189)&gt;=MAX($D$4:$D$8),CR189+4,CR189)&gt;55,"",IF(COUNTIF($CR$4:CR192,CR189)&gt;=MAX($D$4:$D$8),CR189+4,CR189))</f>
        <v>#VALUE!</v>
      </c>
      <c r="CS193" s="1" t="e">
        <f t="shared" si="138"/>
        <v>#VALUE!</v>
      </c>
      <c r="CT193" s="8" t="str">
        <f t="shared" si="146"/>
        <v/>
      </c>
      <c r="CV193" s="71" t="e">
        <f t="shared" si="153"/>
        <v>#VALUE!</v>
      </c>
      <c r="CW193" s="71" t="str">
        <f>IF(OR(COUNTBLANK(CZ193)=1,ISERROR(CZ193)),"",COUNT($CZ$4:CZ193))</f>
        <v/>
      </c>
      <c r="CX193" s="7" t="e">
        <f t="shared" si="154"/>
        <v>#VALUE!</v>
      </c>
      <c r="CY193" s="1" t="str">
        <f t="shared" si="155"/>
        <v/>
      </c>
      <c r="CZ193" s="79" t="e">
        <f>IF(IF(COUNTIF($CZ$4:CZ192,CZ188)&gt;=MAX($D$4:$D$8),CZ188+5,CZ188)&gt;55,"",IF(COUNTIF($CZ$4:CZ192,CZ188)&gt;=MAX($D$4:$D$8),CZ188+5,CZ188))</f>
        <v>#VALUE!</v>
      </c>
      <c r="DA193" s="1" t="e">
        <f t="shared" si="139"/>
        <v>#VALUE!</v>
      </c>
      <c r="DB193" s="8" t="str">
        <f t="shared" si="156"/>
        <v/>
      </c>
    </row>
    <row r="194" spans="5:106" x14ac:dyDescent="0.15">
      <c r="E194" s="1">
        <v>191</v>
      </c>
      <c r="F194" s="1">
        <f t="shared" si="140"/>
        <v>1</v>
      </c>
      <c r="G194" s="1">
        <f t="shared" si="147"/>
        <v>1</v>
      </c>
      <c r="H194" s="1">
        <f t="shared" si="141"/>
        <v>1</v>
      </c>
      <c r="I194" s="1">
        <f t="shared" si="142"/>
        <v>1</v>
      </c>
      <c r="J194" s="1">
        <f t="shared" si="148"/>
        <v>1</v>
      </c>
      <c r="L194" s="1" t="str">
        <f>IF(ISERROR(HLOOKUP($C$10,$F$3:$J$253,192,0)),"",HLOOKUP($C$10,$F$3:$J$253,192,0))</f>
        <v/>
      </c>
      <c r="N194" s="67"/>
      <c r="W194" s="71" t="e">
        <f>IF(AA194="","",AA194*10+1)</f>
        <v>#VALUE!</v>
      </c>
      <c r="X194" s="71" t="str">
        <f>IF(OR(COUNTBLANK(AA194)=1,ISERROR(AA194)),"",COUNT(AA4:AA194))</f>
        <v/>
      </c>
      <c r="Y194" s="7" t="e">
        <f t="shared" si="113"/>
        <v>#VALUE!</v>
      </c>
      <c r="Z194" s="1" t="str">
        <f t="shared" si="127"/>
        <v/>
      </c>
      <c r="AA194" s="79" t="e">
        <f>IF(IF(COUNTIF(AA4:AA193,AA193)&gt;=MAX(D4:D8),AA193+1,AA193)&gt;50,"",IF(COUNTIF(AA4:AA193,AA193)&gt;=MAX(D4:D8),AA193+1,AA193))</f>
        <v>#VALUE!</v>
      </c>
      <c r="AB194" s="1" t="e">
        <f>IF(AA194="","",VLOOKUP(AA194,S4:U53,3,0))</f>
        <v>#VALUE!</v>
      </c>
      <c r="AC194" s="8" t="str">
        <f t="shared" si="114"/>
        <v/>
      </c>
      <c r="AE194" s="71" t="e">
        <f t="shared" si="115"/>
        <v>#VALUE!</v>
      </c>
      <c r="AF194" s="71" t="str">
        <f>IF(OR(COUNTBLANK(AI194)=1,ISERROR(AI194)),"",COUNT(AI4:AI194))</f>
        <v/>
      </c>
      <c r="AG194" s="7" t="e">
        <f t="shared" si="116"/>
        <v>#VALUE!</v>
      </c>
      <c r="AH194" s="1" t="str">
        <f>IF(ISERROR(INDEX(C4:C8,MATCH(G194,D4:D8,0))),"",INDEX(C4:C8,MATCH(G194,D4:D8,0)))</f>
        <v/>
      </c>
      <c r="AI194" s="79" t="e">
        <f>IF(IF(COUNTIF(AI4:AI193,AI192)&gt;=MAX(D4:D8),AI192+2,AI192)&gt;50,"",IF(COUNTIF(AI4:AI193,AI192)&gt;=MAX(D4:D8),AI192+2,AI192))</f>
        <v>#VALUE!</v>
      </c>
      <c r="AJ194" s="1" t="e">
        <f>IF(AI194="","",VLOOKUP(AI194,S4:U53,3,0))</f>
        <v>#VALUE!</v>
      </c>
      <c r="AK194" s="8" t="str">
        <f t="shared" si="117"/>
        <v/>
      </c>
      <c r="AM194" s="71" t="e">
        <f t="shared" si="118"/>
        <v>#VALUE!</v>
      </c>
      <c r="AN194" s="71" t="str">
        <f>IF(OR(COUNTBLANK(AQ194)=1,ISERROR(AQ194)),"",COUNT(AQ4:AQ194))</f>
        <v/>
      </c>
      <c r="AO194" s="7" t="e">
        <f t="shared" si="119"/>
        <v>#VALUE!</v>
      </c>
      <c r="AP194" s="1" t="str">
        <f>IF(ISERROR(INDEX(C4:C8,MATCH(H194,D4:D8,0))),"",INDEX(C4:C8,MATCH(H194,D4:D8,0)))</f>
        <v/>
      </c>
      <c r="AQ194" s="79" t="e">
        <f>IF(IF(COUNTIF(AQ4:AQ193,AQ191)&gt;=MAX(D4:D8),AQ191+3,AQ191)&gt;50,"",IF(COUNTIF(AQ4:AQ193,AQ191)&gt;=MAX(D4:D8),AQ191+3,AQ191))</f>
        <v>#VALUE!</v>
      </c>
      <c r="AR194" s="1" t="e">
        <f>IF(AQ194="","",VLOOKUP(AQ194,S4:U53,3,0))</f>
        <v>#VALUE!</v>
      </c>
      <c r="AS194" s="8" t="str">
        <f t="shared" si="120"/>
        <v/>
      </c>
      <c r="AU194" s="71" t="e">
        <f t="shared" si="121"/>
        <v>#VALUE!</v>
      </c>
      <c r="AV194" s="71" t="str">
        <f>IF(OR(COUNTBLANK(AY194)=1,ISERROR(AY194)),"",COUNT(AY4:AY194))</f>
        <v/>
      </c>
      <c r="AW194" s="7" t="e">
        <f t="shared" si="122"/>
        <v>#VALUE!</v>
      </c>
      <c r="AX194" s="1" t="str">
        <f>IF(ISERROR(INDEX(C4:C8,MATCH(I194,D4:D8,0))),"",INDEX(C4:C8,MATCH(I194,D4:D8,0)))</f>
        <v/>
      </c>
      <c r="AY194" s="79" t="e">
        <f>IF(IF(COUNTIF(AY4:AY193,AY190)&gt;=MAX(D4:D8),AY190+4,AY190)&gt;50,"",IF(COUNTIF(AY4:AY193,AY190)&gt;=MAX(D4:D8),AY190+4,AY190))</f>
        <v>#VALUE!</v>
      </c>
      <c r="AZ194" s="76" t="e">
        <f>IF(AY194="","",VLOOKUP(AY194,S4:U53,3,0))</f>
        <v>#VALUE!</v>
      </c>
      <c r="BA194" s="8" t="str">
        <f t="shared" si="123"/>
        <v/>
      </c>
      <c r="BC194" s="71" t="e">
        <f t="shared" si="124"/>
        <v>#VALUE!</v>
      </c>
      <c r="BD194" s="71" t="str">
        <f>IF(OR(COUNTBLANK(BG194)=1,ISERROR(BG194)),"",COUNT(BG4:BG194))</f>
        <v/>
      </c>
      <c r="BE194" s="7" t="e">
        <f t="shared" si="125"/>
        <v>#VALUE!</v>
      </c>
      <c r="BF194" s="1" t="str">
        <f>IF(ISERROR(INDEX(C4:C8,MATCH(J194,D4:D8,0))),"",INDEX(C4:C8,MATCH(J194,D4:D8,0)))</f>
        <v/>
      </c>
      <c r="BG194" s="79" t="e">
        <f>IF(IF(COUNTIF(BG4:BG193,BG189)&gt;=MAX(D4:D8),BG189+5,BG189)&gt;50,"",IF(COUNTIF(BG4:BG193,BG189)&gt;=MAX(D4:D8),BG189+5,BG189))</f>
        <v>#VALUE!</v>
      </c>
      <c r="BH194" s="76" t="e">
        <f>IF(BG194="","",VLOOKUP(BG194,S4:U53,3,0))</f>
        <v>#VALUE!</v>
      </c>
      <c r="BI194" s="8" t="str">
        <f t="shared" si="126"/>
        <v/>
      </c>
      <c r="BP194" s="71" t="e">
        <f>IF(BT194="","",BT194*10+1)</f>
        <v>#VALUE!</v>
      </c>
      <c r="BQ194" s="71" t="str">
        <f>IF(OR(COUNTBLANK(BT194)=1,ISERROR(BT194)),"",COUNT(BT4:BT194))</f>
        <v/>
      </c>
      <c r="BR194" s="7" t="e">
        <f t="shared" si="128"/>
        <v>#VALUE!</v>
      </c>
      <c r="BS194" s="1" t="str">
        <f t="shared" si="129"/>
        <v/>
      </c>
      <c r="BT194" s="79" t="e">
        <f>IF(IF(COUNTIF($BT$4:BT193,BT193)&gt;=MAX($D$4:$D$8),BT193+1,BT193)&gt;55,"",IF(COUNTIF($BT$4:BT193,BT193)&gt;=MAX($D$4:$D$8),BT193+1,BT193))</f>
        <v>#VALUE!</v>
      </c>
      <c r="BU194" s="1" t="e">
        <f t="shared" si="130"/>
        <v>#VALUE!</v>
      </c>
      <c r="BV194" s="8" t="str">
        <f t="shared" si="131"/>
        <v/>
      </c>
      <c r="BX194" s="71" t="e">
        <f t="shared" si="132"/>
        <v>#VALUE!</v>
      </c>
      <c r="BY194" s="71" t="str">
        <f>IF(OR(COUNTBLANK(CB194)=1,ISERROR(CB194)),"",COUNT($CB$4:CB194))</f>
        <v/>
      </c>
      <c r="BZ194" s="7" t="e">
        <f t="shared" si="133"/>
        <v>#VALUE!</v>
      </c>
      <c r="CA194" s="1" t="str">
        <f t="shared" si="134"/>
        <v/>
      </c>
      <c r="CB194" s="79" t="e">
        <f>IF(IF(COUNTIF($CB$4:CB193,CB192)&gt;=MAX($D$4:$D$8),CB192+2,CB192)&gt;55,"",IF(COUNTIF($CB$4:CB193,CB192)&gt;=MAX($D$4:$D$8),CB192+2,CB192))</f>
        <v>#VALUE!</v>
      </c>
      <c r="CC194" s="1" t="e">
        <f t="shared" si="135"/>
        <v>#VALUE!</v>
      </c>
      <c r="CD194" s="8" t="str">
        <f t="shared" si="136"/>
        <v/>
      </c>
      <c r="CF194" s="71" t="e">
        <f t="shared" si="149"/>
        <v>#VALUE!</v>
      </c>
      <c r="CG194" s="71" t="str">
        <f>IF(OR(COUNTBLANK(CJ194)=1,ISERROR(CJ194)),"",COUNT($CJ$4:CJ194))</f>
        <v/>
      </c>
      <c r="CH194" s="7" t="e">
        <f t="shared" si="150"/>
        <v>#VALUE!</v>
      </c>
      <c r="CI194" s="1" t="str">
        <f t="shared" si="151"/>
        <v/>
      </c>
      <c r="CJ194" s="79" t="e">
        <f>IF(IF(COUNTIF($CJ$4:CJ193,CJ191)&gt;=MAX($D$4:$D$8),CJ191+3,CJ191)&gt;55,"",IF(COUNTIF($CJ$4:CJ193,CJ191)&gt;=MAX($D$4:$D$8),CJ191+3,CJ191))</f>
        <v>#VALUE!</v>
      </c>
      <c r="CK194" s="1" t="e">
        <f t="shared" si="137"/>
        <v>#VALUE!</v>
      </c>
      <c r="CL194" s="8" t="str">
        <f t="shared" si="152"/>
        <v/>
      </c>
      <c r="CN194" s="71" t="e">
        <f t="shared" si="143"/>
        <v>#VALUE!</v>
      </c>
      <c r="CO194" s="71" t="str">
        <f>IF(OR(COUNTBLANK(CR194)=1,ISERROR(CR194)),"",COUNT($CR$4:CR194))</f>
        <v/>
      </c>
      <c r="CP194" s="7" t="e">
        <f t="shared" si="144"/>
        <v>#VALUE!</v>
      </c>
      <c r="CQ194" s="1" t="str">
        <f t="shared" si="145"/>
        <v/>
      </c>
      <c r="CR194" s="79" t="e">
        <f>IF(IF(COUNTIF($CR$4:CR193,CR190)&gt;=MAX($D$4:$D$8),CR190+4,CR190)&gt;55,"",IF(COUNTIF($CR$4:CR193,CR190)&gt;=MAX($D$4:$D$8),CR190+4,CR190))</f>
        <v>#VALUE!</v>
      </c>
      <c r="CS194" s="1" t="e">
        <f t="shared" si="138"/>
        <v>#VALUE!</v>
      </c>
      <c r="CT194" s="8" t="str">
        <f t="shared" si="146"/>
        <v/>
      </c>
      <c r="CV194" s="71" t="e">
        <f t="shared" si="153"/>
        <v>#VALUE!</v>
      </c>
      <c r="CW194" s="71" t="str">
        <f>IF(OR(COUNTBLANK(CZ194)=1,ISERROR(CZ194)),"",COUNT($CZ$4:CZ194))</f>
        <v/>
      </c>
      <c r="CX194" s="7" t="e">
        <f t="shared" si="154"/>
        <v>#VALUE!</v>
      </c>
      <c r="CY194" s="1" t="str">
        <f t="shared" si="155"/>
        <v/>
      </c>
      <c r="CZ194" s="79" t="e">
        <f>IF(IF(COUNTIF($CZ$4:CZ193,CZ189)&gt;=MAX($D$4:$D$8),CZ189+5,CZ189)&gt;55,"",IF(COUNTIF($CZ$4:CZ193,CZ189)&gt;=MAX($D$4:$D$8),CZ189+5,CZ189))</f>
        <v>#VALUE!</v>
      </c>
      <c r="DA194" s="1" t="e">
        <f t="shared" si="139"/>
        <v>#VALUE!</v>
      </c>
      <c r="DB194" s="8" t="str">
        <f t="shared" si="156"/>
        <v/>
      </c>
    </row>
    <row r="195" spans="5:106" x14ac:dyDescent="0.15">
      <c r="E195" s="1">
        <v>192</v>
      </c>
      <c r="F195" s="1">
        <f t="shared" si="140"/>
        <v>1</v>
      </c>
      <c r="G195" s="1">
        <f t="shared" si="147"/>
        <v>1</v>
      </c>
      <c r="H195" s="1">
        <f t="shared" si="141"/>
        <v>1</v>
      </c>
      <c r="I195" s="1">
        <f t="shared" si="142"/>
        <v>1</v>
      </c>
      <c r="J195" s="1">
        <f t="shared" si="148"/>
        <v>1</v>
      </c>
      <c r="L195" s="1" t="str">
        <f>IF(ISERROR(HLOOKUP($C$10,$F$3:$J$253,193,0)),"",HLOOKUP($C$10,$F$3:$J$253,193,0))</f>
        <v/>
      </c>
      <c r="N195" s="67"/>
      <c r="W195" s="71" t="e">
        <f>IF(AA195="","",AA195*10+2)</f>
        <v>#VALUE!</v>
      </c>
      <c r="X195" s="71" t="str">
        <f>IF(OR(COUNTBLANK(AA195)=1,ISERROR(AA195)),"",COUNT(AA4:AA195))</f>
        <v/>
      </c>
      <c r="Y195" s="7" t="e">
        <f t="shared" si="113"/>
        <v>#VALUE!</v>
      </c>
      <c r="Z195" s="1" t="str">
        <f t="shared" si="127"/>
        <v/>
      </c>
      <c r="AA195" s="79" t="e">
        <f>IF(IF(COUNTIF(AA4:AA194,AA194)&gt;=MAX(D4:D8),AA194+1,AA194)&gt;50,"",IF(COUNTIF(AA4:AA194,AA194)&gt;=MAX(D4:D8),AA194+1,AA194))</f>
        <v>#VALUE!</v>
      </c>
      <c r="AB195" s="1" t="e">
        <f>IF(AA195="","",VLOOKUP(AA195,S4:U53,3,0))</f>
        <v>#VALUE!</v>
      </c>
      <c r="AC195" s="8" t="str">
        <f t="shared" si="114"/>
        <v/>
      </c>
      <c r="AE195" s="71" t="e">
        <f t="shared" si="115"/>
        <v>#VALUE!</v>
      </c>
      <c r="AF195" s="71" t="str">
        <f>IF(OR(COUNTBLANK(AI195)=1,ISERROR(AI195)),"",COUNT(AI4:AI195))</f>
        <v/>
      </c>
      <c r="AG195" s="7" t="e">
        <f t="shared" si="116"/>
        <v>#VALUE!</v>
      </c>
      <c r="AH195" s="1" t="str">
        <f>IF(ISERROR(INDEX(C4:C8,MATCH(G195,D4:D8,0))),"",INDEX(C4:C8,MATCH(G195,D4:D8,0)))</f>
        <v/>
      </c>
      <c r="AI195" s="79" t="e">
        <f>IF(IF(COUNTIF(AI4:AI193,AI193)&gt;=MAX(D4:D8),AI193+2,AI193)&gt;50,"",IF(COUNTIF(AI4:AI193,AI193)&gt;=MAX(D4:D8),AI193+2,AI193))</f>
        <v>#VALUE!</v>
      </c>
      <c r="AJ195" s="1" t="e">
        <f>IF(AI195="","",VLOOKUP(AI195,S4:U53,3,0))</f>
        <v>#VALUE!</v>
      </c>
      <c r="AK195" s="8" t="str">
        <f t="shared" si="117"/>
        <v/>
      </c>
      <c r="AM195" s="71" t="e">
        <f t="shared" si="118"/>
        <v>#VALUE!</v>
      </c>
      <c r="AN195" s="71" t="str">
        <f>IF(OR(COUNTBLANK(AQ195)=1,ISERROR(AQ195)),"",COUNT(AQ4:AQ195))</f>
        <v/>
      </c>
      <c r="AO195" s="7" t="e">
        <f t="shared" si="119"/>
        <v>#VALUE!</v>
      </c>
      <c r="AP195" s="1" t="str">
        <f>IF(ISERROR(INDEX(C4:C8,MATCH(H195,D4:D8,0))),"",INDEX(C4:C8,MATCH(H195,D4:D8,0)))</f>
        <v/>
      </c>
      <c r="AQ195" s="79" t="e">
        <f>IF(IF(COUNTIF(AQ4:AQ194,AQ192)&gt;=MAX(D4:D8),AQ192+3,AQ192)&gt;50,"",IF(COUNTIF(AQ4:AQ194,AQ192)&gt;=MAX(D4:D8),AQ192+3,AQ192))</f>
        <v>#VALUE!</v>
      </c>
      <c r="AR195" s="1" t="e">
        <f>IF(AQ195="","",VLOOKUP(AQ195,S4:U53,3,0))</f>
        <v>#VALUE!</v>
      </c>
      <c r="AS195" s="8" t="str">
        <f t="shared" si="120"/>
        <v/>
      </c>
      <c r="AU195" s="71" t="e">
        <f t="shared" si="121"/>
        <v>#VALUE!</v>
      </c>
      <c r="AV195" s="71" t="str">
        <f>IF(OR(COUNTBLANK(AY195)=1,ISERROR(AY195)),"",COUNT(AY4:AY195))</f>
        <v/>
      </c>
      <c r="AW195" s="7" t="e">
        <f t="shared" si="122"/>
        <v>#VALUE!</v>
      </c>
      <c r="AX195" s="1" t="str">
        <f>IF(ISERROR(INDEX(C4:C8,MATCH(I195,D4:D8,0))),"",INDEX(C4:C8,MATCH(I195,D4:D8,0)))</f>
        <v/>
      </c>
      <c r="AY195" s="79" t="e">
        <f>IF(IF(COUNTIF(AY4:AY194,AY191)&gt;=MAX(D4:D8),AY191+4,AY191)&gt;50,"",IF(COUNTIF(AY4:AY194,AY191)&gt;=MAX(D4:D8),AY191+4,AY191))</f>
        <v>#VALUE!</v>
      </c>
      <c r="AZ195" s="76" t="e">
        <f>IF(AY195="","",VLOOKUP(AY195,S4:U53,3,0))</f>
        <v>#VALUE!</v>
      </c>
      <c r="BA195" s="8" t="str">
        <f t="shared" si="123"/>
        <v/>
      </c>
      <c r="BC195" s="71" t="e">
        <f t="shared" si="124"/>
        <v>#VALUE!</v>
      </c>
      <c r="BD195" s="71" t="str">
        <f>IF(OR(COUNTBLANK(BG195)=1,ISERROR(BG195)),"",COUNT(BG4:BG195))</f>
        <v/>
      </c>
      <c r="BE195" s="7" t="e">
        <f t="shared" si="125"/>
        <v>#VALUE!</v>
      </c>
      <c r="BF195" s="1" t="str">
        <f>IF(ISERROR(INDEX(C4:C8,MATCH(J195,D4:D8,0))),"",INDEX(C4:C8,MATCH(J195,D4:D8,0)))</f>
        <v/>
      </c>
      <c r="BG195" s="79" t="e">
        <f>IF(IF(COUNTIF(BG4:BG194,BG190)&gt;=MAX(D4:D8),BG190+5,BG190)&gt;50,"",IF(COUNTIF(BG4:BG194,BG190)&gt;=MAX(D4:D8),BG190+5,BG190))</f>
        <v>#VALUE!</v>
      </c>
      <c r="BH195" s="76" t="e">
        <f>IF(BG195="","",VLOOKUP(BG195,S4:U53,3,0))</f>
        <v>#VALUE!</v>
      </c>
      <c r="BI195" s="8" t="str">
        <f t="shared" si="126"/>
        <v/>
      </c>
      <c r="BP195" s="71" t="e">
        <f>IF(BT195="","",BT195*10+2)</f>
        <v>#VALUE!</v>
      </c>
      <c r="BQ195" s="71" t="str">
        <f>IF(OR(COUNTBLANK(BT195)=1,ISERROR(BT195)),"",COUNT(BT4:BT195))</f>
        <v/>
      </c>
      <c r="BR195" s="7" t="e">
        <f t="shared" si="128"/>
        <v>#VALUE!</v>
      </c>
      <c r="BS195" s="1" t="str">
        <f t="shared" si="129"/>
        <v/>
      </c>
      <c r="BT195" s="79" t="e">
        <f>IF(IF(COUNTIF($BT$4:BT194,BT194)&gt;=MAX($D$4:$D$8),BT194+1,BT194)&gt;55,"",IF(COUNTIF($BT$4:BT194,BT194)&gt;=MAX($D$4:$D$8),BT194+1,BT194))</f>
        <v>#VALUE!</v>
      </c>
      <c r="BU195" s="1" t="e">
        <f t="shared" si="130"/>
        <v>#VALUE!</v>
      </c>
      <c r="BV195" s="8" t="str">
        <f t="shared" si="131"/>
        <v/>
      </c>
      <c r="BX195" s="71" t="e">
        <f t="shared" si="132"/>
        <v>#VALUE!</v>
      </c>
      <c r="BY195" s="71" t="str">
        <f>IF(OR(COUNTBLANK(CB195)=1,ISERROR(CB195)),"",COUNT($CB$4:CB195))</f>
        <v/>
      </c>
      <c r="BZ195" s="7" t="e">
        <f t="shared" si="133"/>
        <v>#VALUE!</v>
      </c>
      <c r="CA195" s="1" t="str">
        <f t="shared" si="134"/>
        <v/>
      </c>
      <c r="CB195" s="79" t="e">
        <f>IF(IF(COUNTIF($CB$4:CB194,CB193)&gt;=MAX($D$4:$D$8),CB193+2,CB193)&gt;55,"",IF(COUNTIF($CB$4:CB194,CB193)&gt;=MAX($D$4:$D$8),CB193+2,CB193))</f>
        <v>#VALUE!</v>
      </c>
      <c r="CC195" s="1" t="e">
        <f t="shared" si="135"/>
        <v>#VALUE!</v>
      </c>
      <c r="CD195" s="8" t="str">
        <f t="shared" si="136"/>
        <v/>
      </c>
      <c r="CF195" s="71" t="e">
        <f t="shared" si="149"/>
        <v>#VALUE!</v>
      </c>
      <c r="CG195" s="71" t="str">
        <f>IF(OR(COUNTBLANK(CJ195)=1,ISERROR(CJ195)),"",COUNT($CJ$4:CJ195))</f>
        <v/>
      </c>
      <c r="CH195" s="7" t="e">
        <f t="shared" si="150"/>
        <v>#VALUE!</v>
      </c>
      <c r="CI195" s="1" t="str">
        <f t="shared" si="151"/>
        <v/>
      </c>
      <c r="CJ195" s="79" t="e">
        <f>IF(IF(COUNTIF($CJ$4:CJ194,CJ192)&gt;=MAX($D$4:$D$8),CJ192+3,CJ192)&gt;55,"",IF(COUNTIF($CJ$4:CJ194,CJ192)&gt;=MAX($D$4:$D$8),CJ192+3,CJ192))</f>
        <v>#VALUE!</v>
      </c>
      <c r="CK195" s="1" t="e">
        <f t="shared" si="137"/>
        <v>#VALUE!</v>
      </c>
      <c r="CL195" s="8" t="str">
        <f t="shared" si="152"/>
        <v/>
      </c>
      <c r="CN195" s="71" t="e">
        <f t="shared" si="143"/>
        <v>#VALUE!</v>
      </c>
      <c r="CO195" s="71" t="str">
        <f>IF(OR(COUNTBLANK(CR195)=1,ISERROR(CR195)),"",COUNT($CR$4:CR195))</f>
        <v/>
      </c>
      <c r="CP195" s="7" t="e">
        <f t="shared" si="144"/>
        <v>#VALUE!</v>
      </c>
      <c r="CQ195" s="1" t="str">
        <f t="shared" si="145"/>
        <v/>
      </c>
      <c r="CR195" s="79" t="e">
        <f>IF(IF(COUNTIF($CR$4:CR194,CR191)&gt;=MAX($D$4:$D$8),CR191+4,CR191)&gt;55,"",IF(COUNTIF($CR$4:CR194,CR191)&gt;=MAX($D$4:$D$8),CR191+4,CR191))</f>
        <v>#VALUE!</v>
      </c>
      <c r="CS195" s="1" t="e">
        <f t="shared" si="138"/>
        <v>#VALUE!</v>
      </c>
      <c r="CT195" s="8" t="str">
        <f t="shared" si="146"/>
        <v/>
      </c>
      <c r="CV195" s="71" t="e">
        <f t="shared" si="153"/>
        <v>#VALUE!</v>
      </c>
      <c r="CW195" s="71" t="str">
        <f>IF(OR(COUNTBLANK(CZ195)=1,ISERROR(CZ195)),"",COUNT($CZ$4:CZ195))</f>
        <v/>
      </c>
      <c r="CX195" s="7" t="e">
        <f t="shared" si="154"/>
        <v>#VALUE!</v>
      </c>
      <c r="CY195" s="1" t="str">
        <f t="shared" si="155"/>
        <v/>
      </c>
      <c r="CZ195" s="79" t="e">
        <f>IF(IF(COUNTIF($CZ$4:CZ194,CZ190)&gt;=MAX($D$4:$D$8),CZ190+5,CZ190)&gt;55,"",IF(COUNTIF($CZ$4:CZ194,CZ190)&gt;=MAX($D$4:$D$8),CZ190+5,CZ190))</f>
        <v>#VALUE!</v>
      </c>
      <c r="DA195" s="1" t="e">
        <f t="shared" si="139"/>
        <v>#VALUE!</v>
      </c>
      <c r="DB195" s="8" t="str">
        <f t="shared" si="156"/>
        <v/>
      </c>
    </row>
    <row r="196" spans="5:106" x14ac:dyDescent="0.15">
      <c r="E196" s="1">
        <v>193</v>
      </c>
      <c r="F196" s="1">
        <f t="shared" si="140"/>
        <v>1</v>
      </c>
      <c r="G196" s="1">
        <f t="shared" si="147"/>
        <v>1</v>
      </c>
      <c r="H196" s="1">
        <f t="shared" si="141"/>
        <v>1</v>
      </c>
      <c r="I196" s="1">
        <f t="shared" si="142"/>
        <v>1</v>
      </c>
      <c r="J196" s="1">
        <f t="shared" si="148"/>
        <v>1</v>
      </c>
      <c r="L196" s="1" t="str">
        <f>IF(ISERROR(HLOOKUP($C$10,$F$3:$J$253,194,0)),"",HLOOKUP($C$10,$F$3:$J$253,194,0))</f>
        <v/>
      </c>
      <c r="N196" s="67"/>
      <c r="W196" s="71" t="e">
        <f>IF(AA196="","",AA196*10+3)</f>
        <v>#VALUE!</v>
      </c>
      <c r="X196" s="71" t="str">
        <f>IF(OR(COUNTBLANK(AA196)=1,ISERROR(AA196)),"",COUNT(AA4:AA196))</f>
        <v/>
      </c>
      <c r="Y196" s="7" t="e">
        <f t="shared" ref="Y196:Y259" si="157">IF(AA196&gt;20,"ナビ・","1・2年のナビ・")</f>
        <v>#VALUE!</v>
      </c>
      <c r="Z196" s="1" t="str">
        <f t="shared" si="127"/>
        <v/>
      </c>
      <c r="AA196" s="79" t="e">
        <f>IF(IF(COUNTIF(AA4:AA195,AA195)&gt;=MAX(D4:D8),AA195+1,AA195)&gt;50,"",IF(COUNTIF(AA4:AA195,AA195)&gt;=MAX(D4:D8),AA195+1,AA195))</f>
        <v>#VALUE!</v>
      </c>
      <c r="AB196" s="1" t="e">
        <f>IF(AA196="","",VLOOKUP(AA196,S4:U53,3,0))</f>
        <v>#VALUE!</v>
      </c>
      <c r="AC196" s="8" t="str">
        <f t="shared" ref="AC196:AC259" si="158">IF(ISERROR(IF(COUNTIF(Z196:AB196,"")&gt;=1,"",Y196&amp;Z196&amp;"【"&amp;IF(AA196&gt;20,AA196-20,AA196)&amp;"】"&amp;AB196)),"",IF(COUNTIF(Z196:AB196,"")&gt;=1,"",Y196&amp;Z196&amp;"【"&amp;IF(AA196&gt;20,AA196-20,AA196)&amp;"】"&amp;AB196))</f>
        <v/>
      </c>
      <c r="AE196" s="71" t="e">
        <f t="shared" ref="AE196:AE259" si="159">IF(AI196="","",AI196*10+G196)</f>
        <v>#VALUE!</v>
      </c>
      <c r="AF196" s="71" t="str">
        <f>IF(OR(COUNTBLANK(AI196)=1,ISERROR(AI196)),"",COUNT(AI4:AI196))</f>
        <v/>
      </c>
      <c r="AG196" s="7" t="e">
        <f t="shared" ref="AG196:AG259" si="160">IF(AI196&gt;20,"ナビ・","1・2年のナビ・")</f>
        <v>#VALUE!</v>
      </c>
      <c r="AH196" s="1" t="str">
        <f>IF(ISERROR(INDEX(C4:C8,MATCH(G196,D4:D8,0))),"",INDEX(C4:C8,MATCH(G196,D4:D8,0)))</f>
        <v/>
      </c>
      <c r="AI196" s="79" t="e">
        <f>IF(IF(COUNTIF(AI4:AI195,AI194)&gt;=MAX(D4:D8),AI194+2,AI194)&gt;50,"",IF(COUNTIF(AI4:AI195,AI194)&gt;=MAX(D4:D8),AI194+2,AI194))</f>
        <v>#VALUE!</v>
      </c>
      <c r="AJ196" s="1" t="e">
        <f>IF(AI196="","",VLOOKUP(AI196,S4:U53,3,0))</f>
        <v>#VALUE!</v>
      </c>
      <c r="AK196" s="8" t="str">
        <f t="shared" ref="AK196:AK259" si="161">IF(ISERROR(IF(COUNTIF(AH196:AJ196,"")&gt;=1,"",AG196&amp;AH196&amp;"【"&amp;IF(AI196&gt;20,AI196-20,AI196)&amp;"】"&amp;AJ196)),"",IF(COUNTIF(AH196:AJ196,"")&gt;=1,"",AG196&amp;AH196&amp;"【"&amp;IF(AI196&gt;20,AI196-20,AI196)&amp;"】"&amp;AJ196))</f>
        <v/>
      </c>
      <c r="AM196" s="71" t="e">
        <f t="shared" ref="AM196:AM259" si="162">IF(AQ196="","",AQ196*10+H196)</f>
        <v>#VALUE!</v>
      </c>
      <c r="AN196" s="71" t="str">
        <f>IF(OR(COUNTBLANK(AQ196)=1,ISERROR(AQ196)),"",COUNT(AQ4:AQ196))</f>
        <v/>
      </c>
      <c r="AO196" s="7" t="e">
        <f t="shared" ref="AO196:AO259" si="163">IF(AQ196&gt;20,"ナビ・","1・2年のナビ・")</f>
        <v>#VALUE!</v>
      </c>
      <c r="AP196" s="1" t="str">
        <f>IF(ISERROR(INDEX(C4:C8,MATCH(H196,D4:D8,0))),"",INDEX(C4:C8,MATCH(H196,D4:D8,0)))</f>
        <v/>
      </c>
      <c r="AQ196" s="79" t="e">
        <f>IF(IF(COUNTIF(AQ4:AQ195,AQ193)&gt;=MAX(D4:D8),AQ193+3,AQ193)&gt;50,"",IF(COUNTIF(AQ4:AQ195,AQ193)&gt;=MAX(D4:D8),AQ193+3,AQ193))</f>
        <v>#VALUE!</v>
      </c>
      <c r="AR196" s="1" t="e">
        <f>IF(AQ196="","",VLOOKUP(AQ196,S4:U53,3,0))</f>
        <v>#VALUE!</v>
      </c>
      <c r="AS196" s="8" t="str">
        <f t="shared" ref="AS196:AS259" si="164">IF(ISERROR(IF(COUNTIF(AP196:AR196,"")&gt;=1,"",AO196&amp;AP196&amp;"【"&amp;IF(AQ196&gt;20,AQ196-20,AQ196)&amp;"】"&amp;AR196)),"",IF(COUNTIF(AP196:AR196,"")&gt;=1,"",AO196&amp;AP196&amp;"【"&amp;IF(AQ196&gt;20,AQ196-20,AQ196)&amp;"】"&amp;AR196))</f>
        <v/>
      </c>
      <c r="AU196" s="71" t="e">
        <f t="shared" ref="AU196:AU259" si="165">IF(AY196="","",AY196*10+I196)</f>
        <v>#VALUE!</v>
      </c>
      <c r="AV196" s="71" t="str">
        <f>IF(OR(COUNTBLANK(AY196)=1,ISERROR(AY196)),"",COUNT(AY4:AY196))</f>
        <v/>
      </c>
      <c r="AW196" s="7" t="e">
        <f t="shared" ref="AW196:AW259" si="166">IF(AY196&gt;20,"ナビ・","1・2年のナビ・")</f>
        <v>#VALUE!</v>
      </c>
      <c r="AX196" s="1" t="str">
        <f>IF(ISERROR(INDEX(C4:C8,MATCH(I196,D4:D8,0))),"",INDEX(C4:C8,MATCH(I196,D4:D8,0)))</f>
        <v/>
      </c>
      <c r="AY196" s="79" t="e">
        <f>IF(IF(COUNTIF(AY4:AY195,AY192)&gt;=MAX(D4:D8),AY192+4,AY192)&gt;50,"",IF(COUNTIF(AY4:AY195,AY192)&gt;=MAX(D4:D8),AY192+4,AY192))</f>
        <v>#VALUE!</v>
      </c>
      <c r="AZ196" s="76" t="e">
        <f>IF(AY196="","",VLOOKUP(AY196,S4:U53,3,0))</f>
        <v>#VALUE!</v>
      </c>
      <c r="BA196" s="8" t="str">
        <f t="shared" ref="BA196:BA259" si="167">IF(ISERROR(IF(COUNTIF(AX196:AZ196,"")&gt;=1,"",AW196&amp;AX196&amp;"【"&amp;IF(AY196&gt;20,AY196-20,AY196)&amp;"】"&amp;AZ196)),"",IF(COUNTIF(AX196:AZ196,"")&gt;=1,"",AW196&amp;AX196&amp;"【"&amp;IF(AY196&gt;20,AY196-20,AY196)&amp;"】"&amp;AZ196))</f>
        <v/>
      </c>
      <c r="BC196" s="71" t="e">
        <f t="shared" ref="BC196:BC259" si="168">IF(BG196="","",BG196*10+J196)</f>
        <v>#VALUE!</v>
      </c>
      <c r="BD196" s="71" t="str">
        <f>IF(OR(COUNTBLANK(BG196)=1,ISERROR(BG196)),"",COUNT(BG4:BG196))</f>
        <v/>
      </c>
      <c r="BE196" s="7" t="e">
        <f t="shared" ref="BE196:BE259" si="169">IF(BG196&gt;20,"ナビ・","1・2年のナビ・")</f>
        <v>#VALUE!</v>
      </c>
      <c r="BF196" s="1" t="str">
        <f>IF(ISERROR(INDEX(C4:C8,MATCH(J196,D4:D8,0))),"",INDEX(C4:C8,MATCH(J196,D4:D8,0)))</f>
        <v/>
      </c>
      <c r="BG196" s="79" t="e">
        <f>IF(IF(COUNTIF(BG4:BG195,BG191)&gt;=MAX(D4:D8),BG191+5,BG191)&gt;50,"",IF(COUNTIF(BG4:BG195,BG191)&gt;=MAX(D4:D8),BG191+5,BG191))</f>
        <v>#VALUE!</v>
      </c>
      <c r="BH196" s="76" t="e">
        <f>IF(BG196="","",VLOOKUP(BG196,S4:U53,3,0))</f>
        <v>#VALUE!</v>
      </c>
      <c r="BI196" s="8" t="str">
        <f t="shared" ref="BI196:BI259" si="170">IF(ISERROR(IF(COUNTIF(BF196:BH196,"")&gt;=1,"",BE196&amp;BF196&amp;"【"&amp;IF(BG196&gt;20,BG196-20,BG196)&amp;"】"&amp;BH196)),"",IF(COUNTIF(BF196:BH196,"")&gt;=1,"",BE196&amp;BF196&amp;"【"&amp;IF(BG196&gt;20,BG196-20,BG196)&amp;"】"&amp;BH196))</f>
        <v/>
      </c>
      <c r="BP196" s="71" t="e">
        <f>IF(BT196="","",BT196*10+3)</f>
        <v>#VALUE!</v>
      </c>
      <c r="BQ196" s="71" t="str">
        <f>IF(OR(COUNTBLANK(BT196)=1,ISERROR(BT196)),"",COUNT(BT4:BT196))</f>
        <v/>
      </c>
      <c r="BR196" s="7" t="e">
        <f t="shared" si="128"/>
        <v>#VALUE!</v>
      </c>
      <c r="BS196" s="1" t="str">
        <f t="shared" si="129"/>
        <v/>
      </c>
      <c r="BT196" s="79" t="e">
        <f>IF(IF(COUNTIF($BT$4:BT195,BT195)&gt;=MAX($D$4:$D$8),BT195+1,BT195)&gt;55,"",IF(COUNTIF($BT$4:BT195,BT195)&gt;=MAX($D$4:$D$8),BT195+1,BT195))</f>
        <v>#VALUE!</v>
      </c>
      <c r="BU196" s="1" t="e">
        <f t="shared" si="130"/>
        <v>#VALUE!</v>
      </c>
      <c r="BV196" s="8" t="str">
        <f t="shared" si="131"/>
        <v/>
      </c>
      <c r="BX196" s="71" t="e">
        <f t="shared" si="132"/>
        <v>#VALUE!</v>
      </c>
      <c r="BY196" s="71" t="str">
        <f>IF(OR(COUNTBLANK(CB196)=1,ISERROR(CB196)),"",COUNT($CB$4:CB196))</f>
        <v/>
      </c>
      <c r="BZ196" s="7" t="e">
        <f t="shared" si="133"/>
        <v>#VALUE!</v>
      </c>
      <c r="CA196" s="1" t="str">
        <f t="shared" si="134"/>
        <v/>
      </c>
      <c r="CB196" s="79" t="e">
        <f>IF(IF(COUNTIF($CB$4:CB195,CB194)&gt;=MAX($D$4:$D$8),CB194+2,CB194)&gt;55,"",IF(COUNTIF($CB$4:CB195,CB194)&gt;=MAX($D$4:$D$8),CB194+2,CB194))</f>
        <v>#VALUE!</v>
      </c>
      <c r="CC196" s="1" t="e">
        <f t="shared" si="135"/>
        <v>#VALUE!</v>
      </c>
      <c r="CD196" s="8" t="str">
        <f t="shared" si="136"/>
        <v/>
      </c>
      <c r="CF196" s="71" t="e">
        <f t="shared" si="149"/>
        <v>#VALUE!</v>
      </c>
      <c r="CG196" s="71" t="str">
        <f>IF(OR(COUNTBLANK(CJ196)=1,ISERROR(CJ196)),"",COUNT($CJ$4:CJ196))</f>
        <v/>
      </c>
      <c r="CH196" s="7" t="e">
        <f t="shared" si="150"/>
        <v>#VALUE!</v>
      </c>
      <c r="CI196" s="1" t="str">
        <f t="shared" si="151"/>
        <v/>
      </c>
      <c r="CJ196" s="79" t="e">
        <f>IF(IF(COUNTIF($CJ$4:CJ195,CJ193)&gt;=MAX($D$4:$D$8),CJ193+3,CJ193)&gt;55,"",IF(COUNTIF($CJ$4:CJ195,CJ193)&gt;=MAX($D$4:$D$8),CJ193+3,CJ193))</f>
        <v>#VALUE!</v>
      </c>
      <c r="CK196" s="1" t="e">
        <f t="shared" si="137"/>
        <v>#VALUE!</v>
      </c>
      <c r="CL196" s="8" t="str">
        <f t="shared" si="152"/>
        <v/>
      </c>
      <c r="CN196" s="71" t="e">
        <f t="shared" si="143"/>
        <v>#VALUE!</v>
      </c>
      <c r="CO196" s="71" t="str">
        <f>IF(OR(COUNTBLANK(CR196)=1,ISERROR(CR196)),"",COUNT($CR$4:CR196))</f>
        <v/>
      </c>
      <c r="CP196" s="7" t="e">
        <f t="shared" si="144"/>
        <v>#VALUE!</v>
      </c>
      <c r="CQ196" s="1" t="str">
        <f t="shared" si="145"/>
        <v/>
      </c>
      <c r="CR196" s="79" t="e">
        <f>IF(IF(COUNTIF($CR$4:CR195,CR192)&gt;=MAX($D$4:$D$8),CR192+4,CR192)&gt;55,"",IF(COUNTIF($CR$4:CR195,CR192)&gt;=MAX($D$4:$D$8),CR192+4,CR192))</f>
        <v>#VALUE!</v>
      </c>
      <c r="CS196" s="1" t="e">
        <f t="shared" si="138"/>
        <v>#VALUE!</v>
      </c>
      <c r="CT196" s="8" t="str">
        <f t="shared" si="146"/>
        <v/>
      </c>
      <c r="CV196" s="71" t="e">
        <f t="shared" si="153"/>
        <v>#VALUE!</v>
      </c>
      <c r="CW196" s="71" t="str">
        <f>IF(OR(COUNTBLANK(CZ196)=1,ISERROR(CZ196)),"",COUNT($CZ$4:CZ196))</f>
        <v/>
      </c>
      <c r="CX196" s="7" t="e">
        <f t="shared" si="154"/>
        <v>#VALUE!</v>
      </c>
      <c r="CY196" s="1" t="str">
        <f t="shared" si="155"/>
        <v/>
      </c>
      <c r="CZ196" s="79" t="e">
        <f>IF(IF(COUNTIF($CZ$4:CZ195,CZ191)&gt;=MAX($D$4:$D$8),CZ191+5,CZ191)&gt;55,"",IF(COUNTIF($CZ$4:CZ195,CZ191)&gt;=MAX($D$4:$D$8),CZ191+5,CZ191))</f>
        <v>#VALUE!</v>
      </c>
      <c r="DA196" s="1" t="e">
        <f t="shared" si="139"/>
        <v>#VALUE!</v>
      </c>
      <c r="DB196" s="8" t="str">
        <f t="shared" si="156"/>
        <v/>
      </c>
    </row>
    <row r="197" spans="5:106" x14ac:dyDescent="0.15">
      <c r="E197" s="1">
        <v>194</v>
      </c>
      <c r="F197" s="1">
        <f t="shared" si="140"/>
        <v>1</v>
      </c>
      <c r="G197" s="1">
        <f t="shared" si="147"/>
        <v>1</v>
      </c>
      <c r="H197" s="1">
        <f t="shared" si="141"/>
        <v>1</v>
      </c>
      <c r="I197" s="1">
        <f t="shared" si="142"/>
        <v>1</v>
      </c>
      <c r="J197" s="1">
        <f t="shared" si="148"/>
        <v>1</v>
      </c>
      <c r="L197" s="1" t="str">
        <f>IF(ISERROR(HLOOKUP($C$10,$F$3:$J$253,195,0)),"",HLOOKUP($C$10,$F$3:$J$253,195,0))</f>
        <v/>
      </c>
      <c r="N197" s="67"/>
      <c r="W197" s="71" t="e">
        <f>IF(AA197="","",AA197*10+4)</f>
        <v>#VALUE!</v>
      </c>
      <c r="X197" s="71" t="str">
        <f>IF(OR(COUNTBLANK(AA197)=1,ISERROR(AA197)),"",COUNT(AA4:AA197))</f>
        <v/>
      </c>
      <c r="Y197" s="7" t="e">
        <f t="shared" si="157"/>
        <v>#VALUE!</v>
      </c>
      <c r="Z197" s="1" t="str">
        <f t="shared" ref="Z197:Z260" si="171">IF(ISERROR(INDEX($C$4:$C$8,MATCH(F197,$D$4:$D$8,0))),"",INDEX($C$4:$C$8,MATCH(F197,$D$4:$D$8,0)))</f>
        <v/>
      </c>
      <c r="AA197" s="79" t="e">
        <f>IF(IF(COUNTIF(AA4:AA196,AA196)&gt;=MAX(D4:D8),AA196+1,AA196)&gt;50,"",IF(COUNTIF(AA4:AA196,AA196)&gt;=MAX(D4:D8),AA196+1,AA196))</f>
        <v>#VALUE!</v>
      </c>
      <c r="AB197" s="1" t="e">
        <f>IF(AA197="","",VLOOKUP(AA197,S4:U53,3,0))</f>
        <v>#VALUE!</v>
      </c>
      <c r="AC197" s="8" t="str">
        <f t="shared" si="158"/>
        <v/>
      </c>
      <c r="AE197" s="71" t="e">
        <f t="shared" si="159"/>
        <v>#VALUE!</v>
      </c>
      <c r="AF197" s="71" t="str">
        <f>IF(OR(COUNTBLANK(AI197)=1,ISERROR(AI197)),"",COUNT(AI4:AI197))</f>
        <v/>
      </c>
      <c r="AG197" s="7" t="e">
        <f t="shared" si="160"/>
        <v>#VALUE!</v>
      </c>
      <c r="AH197" s="1" t="str">
        <f>IF(ISERROR(INDEX(C4:C8,MATCH(G197,D4:D8,0))),"",INDEX(C4:C8,MATCH(G197,D4:D8,0)))</f>
        <v/>
      </c>
      <c r="AI197" s="79" t="e">
        <f>IF(IF(COUNTIF(AI4:AI195,AI195)&gt;=MAX(D4:D8),AI195+2,AI195)&gt;50,"",IF(COUNTIF(AI4:AI195,AI195)&gt;=MAX(D4:D8),AI195+2,AI195))</f>
        <v>#VALUE!</v>
      </c>
      <c r="AJ197" s="1" t="e">
        <f>IF(AI197="","",VLOOKUP(AI197,S4:U53,3,0))</f>
        <v>#VALUE!</v>
      </c>
      <c r="AK197" s="8" t="str">
        <f t="shared" si="161"/>
        <v/>
      </c>
      <c r="AM197" s="71" t="e">
        <f t="shared" si="162"/>
        <v>#VALUE!</v>
      </c>
      <c r="AN197" s="71" t="str">
        <f>IF(OR(COUNTBLANK(AQ197)=1,ISERROR(AQ197)),"",COUNT(AQ4:AQ197))</f>
        <v/>
      </c>
      <c r="AO197" s="7" t="e">
        <f t="shared" si="163"/>
        <v>#VALUE!</v>
      </c>
      <c r="AP197" s="1" t="str">
        <f>IF(ISERROR(INDEX(C4:C8,MATCH(H197,D4:D8,0))),"",INDEX(C4:C8,MATCH(H197,D4:D8,0)))</f>
        <v/>
      </c>
      <c r="AQ197" s="79" t="e">
        <f>IF(IF(COUNTIF(AQ4:AQ196,AQ194)&gt;=MAX(D4:D8),AQ194+3,AQ194)&gt;50,"",IF(COUNTIF(AQ4:AQ196,AQ194)&gt;=MAX(D4:D8),AQ194+3,AQ194))</f>
        <v>#VALUE!</v>
      </c>
      <c r="AR197" s="1" t="e">
        <f>IF(AQ197="","",VLOOKUP(AQ197,S4:U53,3,0))</f>
        <v>#VALUE!</v>
      </c>
      <c r="AS197" s="8" t="str">
        <f t="shared" si="164"/>
        <v/>
      </c>
      <c r="AU197" s="71" t="e">
        <f t="shared" si="165"/>
        <v>#VALUE!</v>
      </c>
      <c r="AV197" s="71" t="str">
        <f>IF(OR(COUNTBLANK(AY197)=1,ISERROR(AY197)),"",COUNT(AY4:AY197))</f>
        <v/>
      </c>
      <c r="AW197" s="7" t="e">
        <f t="shared" si="166"/>
        <v>#VALUE!</v>
      </c>
      <c r="AX197" s="1" t="str">
        <f>IF(ISERROR(INDEX(C4:C8,MATCH(I197,D4:D8,0))),"",INDEX(C4:C8,MATCH(I197,D4:D8,0)))</f>
        <v/>
      </c>
      <c r="AY197" s="79" t="e">
        <f>IF(IF(COUNTIF(AY4:AY196,AY193)&gt;=MAX(D4:D8),AY193+4,AY193)&gt;50,"",IF(COUNTIF(AY4:AY196,AY193)&gt;=MAX(D4:D8),AY193+4,AY193))</f>
        <v>#VALUE!</v>
      </c>
      <c r="AZ197" s="76" t="e">
        <f>IF(AY197="","",VLOOKUP(AY197,S4:U53,3,0))</f>
        <v>#VALUE!</v>
      </c>
      <c r="BA197" s="8" t="str">
        <f t="shared" si="167"/>
        <v/>
      </c>
      <c r="BC197" s="71" t="e">
        <f t="shared" si="168"/>
        <v>#VALUE!</v>
      </c>
      <c r="BD197" s="71" t="str">
        <f>IF(OR(COUNTBLANK(BG197)=1,ISERROR(BG197)),"",COUNT(BG4:BG197))</f>
        <v/>
      </c>
      <c r="BE197" s="7" t="e">
        <f t="shared" si="169"/>
        <v>#VALUE!</v>
      </c>
      <c r="BF197" s="1" t="str">
        <f>IF(ISERROR(INDEX(C4:C8,MATCH(J197,D4:D8,0))),"",INDEX(C4:C8,MATCH(J197,D4:D8,0)))</f>
        <v/>
      </c>
      <c r="BG197" s="79" t="e">
        <f>IF(IF(COUNTIF(BG4:BG196,BG192)&gt;=MAX(D4:D8),BG192+5,BG192)&gt;50,"",IF(COUNTIF(BG4:BG196,BG192)&gt;=MAX(D4:D8),BG192+5,BG192))</f>
        <v>#VALUE!</v>
      </c>
      <c r="BH197" s="76" t="e">
        <f>IF(BG197="","",VLOOKUP(BG197,S4:U53,3,0))</f>
        <v>#VALUE!</v>
      </c>
      <c r="BI197" s="8" t="str">
        <f t="shared" si="170"/>
        <v/>
      </c>
      <c r="BP197" s="71" t="e">
        <f>IF(BT197="","",BT197*10+4)</f>
        <v>#VALUE!</v>
      </c>
      <c r="BQ197" s="71" t="str">
        <f>IF(OR(COUNTBLANK(BT197)=1,ISERROR(BT197)),"",COUNT(BT4:BT197))</f>
        <v/>
      </c>
      <c r="BR197" s="7" t="e">
        <f t="shared" ref="BR197:BR260" si="172">IF(BT197&gt;25,"ナビ・","1・2年のWナビ・")</f>
        <v>#VALUE!</v>
      </c>
      <c r="BS197" s="1" t="str">
        <f t="shared" ref="BS197:BS260" si="173">IF(ISERROR(INDEX($C$4:$C$8,MATCH(F197,$D$4:$D$8,0))),"",INDEX($C$4:$C$8,MATCH(F197,$D$4:$D$8,0)))</f>
        <v/>
      </c>
      <c r="BT197" s="79" t="e">
        <f>IF(IF(COUNTIF($BT$4:BT196,BT196)&gt;=MAX($D$4:$D$8),BT196+1,BT196)&gt;55,"",IF(COUNTIF($BT$4:BT196,BT196)&gt;=MAX($D$4:$D$8),BT196+1,BT196))</f>
        <v>#VALUE!</v>
      </c>
      <c r="BU197" s="1" t="e">
        <f t="shared" ref="BU197:BU260" si="174">IF(BT197="","",VLOOKUP(BT197,$BL$4:$BN$58,3,0))</f>
        <v>#VALUE!</v>
      </c>
      <c r="BV197" s="8" t="str">
        <f t="shared" ref="BV197:BV260" si="175">IF(ISERROR(IF(COUNTIF(BS197:BU197,"")&gt;=1,"",BR197&amp;BS197&amp;"【"&amp;VLOOKUP(BT197,$BL$4:$BN$58,2,0)&amp;"】"&amp;BU197)),"",IF(COUNTIF(BS197:BU197,"")&gt;=1,"",BR197&amp;BS197&amp;"【"&amp;VLOOKUP(BT197,$BL$4:$BN$58,2,0)&amp;"】"&amp;BU197))</f>
        <v/>
      </c>
      <c r="BX197" s="71" t="e">
        <f t="shared" ref="BX197:BX260" si="176">IF(CB197="","",CB197*10+G197)</f>
        <v>#VALUE!</v>
      </c>
      <c r="BY197" s="71" t="str">
        <f>IF(OR(COUNTBLANK(CB197)=1,ISERROR(CB197)),"",COUNT($CB$4:CB197))</f>
        <v/>
      </c>
      <c r="BZ197" s="7" t="e">
        <f t="shared" ref="BZ197:BZ260" si="177">IF(CB197&gt;25,"ナビ・","1・2年のWナビ・")</f>
        <v>#VALUE!</v>
      </c>
      <c r="CA197" s="1" t="str">
        <f t="shared" ref="CA197:CA260" si="178">IF(ISERROR(INDEX($C$4:$C$8,MATCH(G197,$D$4:$D$8,0))),"",INDEX($C$4:$C$8,MATCH(G197,$D$4:$D$8,0)))</f>
        <v/>
      </c>
      <c r="CB197" s="79" t="e">
        <f>IF(IF(COUNTIF($CB$4:CB196,CB195)&gt;=MAX($D$4:$D$8),CB195+2,CB195)&gt;55,"",IF(COUNTIF($CB$4:CB196,CB195)&gt;=MAX($D$4:$D$8),CB195+2,CB195))</f>
        <v>#VALUE!</v>
      </c>
      <c r="CC197" s="1" t="e">
        <f t="shared" ref="CC197:CC260" si="179">IF(CB197="","",VLOOKUP(CB197,$BL$4:$BN$58,3,0))</f>
        <v>#VALUE!</v>
      </c>
      <c r="CD197" s="8" t="str">
        <f t="shared" ref="CD197:CD260" si="180">IF(ISERROR(IF(COUNTIF(CA197:CC197,"")&gt;=1,"",BZ197&amp;CA197&amp;"【"&amp;VLOOKUP(CB197,$BL$4:$BN$58,2,0)&amp;"】"&amp;CC197)),"",IF(COUNTIF(CA197:CC197,"")&gt;=1,"",BZ197&amp;CA197&amp;"【"&amp;VLOOKUP(CB197,$BL$4:$BN$58,2,0)&amp;"】"&amp;CC197))</f>
        <v/>
      </c>
      <c r="CF197" s="71" t="e">
        <f t="shared" si="149"/>
        <v>#VALUE!</v>
      </c>
      <c r="CG197" s="71" t="str">
        <f>IF(OR(COUNTBLANK(CJ197)=1,ISERROR(CJ197)),"",COUNT($CJ$4:CJ197))</f>
        <v/>
      </c>
      <c r="CH197" s="7" t="e">
        <f t="shared" si="150"/>
        <v>#VALUE!</v>
      </c>
      <c r="CI197" s="1" t="str">
        <f t="shared" si="151"/>
        <v/>
      </c>
      <c r="CJ197" s="79" t="e">
        <f>IF(IF(COUNTIF($CJ$4:CJ196,CJ194)&gt;=MAX($D$4:$D$8),CJ194+3,CJ194)&gt;55,"",IF(COUNTIF($CJ$4:CJ196,CJ194)&gt;=MAX($D$4:$D$8),CJ194+3,CJ194))</f>
        <v>#VALUE!</v>
      </c>
      <c r="CK197" s="1" t="e">
        <f t="shared" ref="CK197:CK260" si="181">IF(CJ197="","",VLOOKUP(CJ197,$BL$4:$BN$58,3,0))</f>
        <v>#VALUE!</v>
      </c>
      <c r="CL197" s="8" t="str">
        <f t="shared" si="152"/>
        <v/>
      </c>
      <c r="CN197" s="71" t="e">
        <f t="shared" si="143"/>
        <v>#VALUE!</v>
      </c>
      <c r="CO197" s="71" t="str">
        <f>IF(OR(COUNTBLANK(CR197)=1,ISERROR(CR197)),"",COUNT($CR$4:CR197))</f>
        <v/>
      </c>
      <c r="CP197" s="7" t="e">
        <f t="shared" si="144"/>
        <v>#VALUE!</v>
      </c>
      <c r="CQ197" s="1" t="str">
        <f t="shared" si="145"/>
        <v/>
      </c>
      <c r="CR197" s="79" t="e">
        <f>IF(IF(COUNTIF($CR$4:CR196,CR193)&gt;=MAX($D$4:$D$8),CR193+4,CR193)&gt;55,"",IF(COUNTIF($CR$4:CR196,CR193)&gt;=MAX($D$4:$D$8),CR193+4,CR193))</f>
        <v>#VALUE!</v>
      </c>
      <c r="CS197" s="1" t="e">
        <f t="shared" ref="CS197:CS260" si="182">IF(CR197="","",VLOOKUP(CR197,$BL$4:$BN$58,3,0))</f>
        <v>#VALUE!</v>
      </c>
      <c r="CT197" s="8" t="str">
        <f t="shared" si="146"/>
        <v/>
      </c>
      <c r="CV197" s="71" t="e">
        <f t="shared" si="153"/>
        <v>#VALUE!</v>
      </c>
      <c r="CW197" s="71" t="str">
        <f>IF(OR(COUNTBLANK(CZ197)=1,ISERROR(CZ197)),"",COUNT($CZ$4:CZ197))</f>
        <v/>
      </c>
      <c r="CX197" s="7" t="e">
        <f t="shared" si="154"/>
        <v>#VALUE!</v>
      </c>
      <c r="CY197" s="1" t="str">
        <f t="shared" si="155"/>
        <v/>
      </c>
      <c r="CZ197" s="79" t="e">
        <f>IF(IF(COUNTIF($CZ$4:CZ196,CZ192)&gt;=MAX($D$4:$D$8),CZ192+5,CZ192)&gt;55,"",IF(COUNTIF($CZ$4:CZ196,CZ192)&gt;=MAX($D$4:$D$8),CZ192+5,CZ192))</f>
        <v>#VALUE!</v>
      </c>
      <c r="DA197" s="1" t="e">
        <f t="shared" ref="DA197:DA260" si="183">IF(CZ197="","",VLOOKUP(CZ197,$BL$4:$BN$58,3,0))</f>
        <v>#VALUE!</v>
      </c>
      <c r="DB197" s="8" t="str">
        <f t="shared" si="156"/>
        <v/>
      </c>
    </row>
    <row r="198" spans="5:106" x14ac:dyDescent="0.15">
      <c r="E198" s="1">
        <v>195</v>
      </c>
      <c r="F198" s="1">
        <f t="shared" ref="F198:F261" si="184">IF(F197+1&gt;MAX($D$4:$D$8),1,F197+1)</f>
        <v>1</v>
      </c>
      <c r="G198" s="1">
        <f t="shared" si="147"/>
        <v>1</v>
      </c>
      <c r="H198" s="1">
        <f t="shared" si="141"/>
        <v>1</v>
      </c>
      <c r="I198" s="1">
        <f t="shared" si="142"/>
        <v>1</v>
      </c>
      <c r="J198" s="1">
        <f t="shared" si="148"/>
        <v>1</v>
      </c>
      <c r="L198" s="1" t="str">
        <f>IF(ISERROR(HLOOKUP($C$10,$F$3:$J$253,196,0)),"",HLOOKUP($C$10,$F$3:$J$253,196,0))</f>
        <v/>
      </c>
      <c r="N198" s="67"/>
      <c r="W198" s="71" t="e">
        <f>IF(AA198="","",AA198*10+5)</f>
        <v>#VALUE!</v>
      </c>
      <c r="X198" s="71" t="str">
        <f>IF(OR(COUNTBLANK(AA198)=1,ISERROR(AA198)),"",COUNT(AA4:AA198))</f>
        <v/>
      </c>
      <c r="Y198" s="7" t="e">
        <f t="shared" si="157"/>
        <v>#VALUE!</v>
      </c>
      <c r="Z198" s="1" t="str">
        <f t="shared" si="171"/>
        <v/>
      </c>
      <c r="AA198" s="79" t="e">
        <f>IF(IF(COUNTIF(AA4:AA197,AA197)&gt;=MAX(D4:D8),AA197+1,AA197)&gt;50,"",IF(COUNTIF(AA4:AA197,AA197)&gt;=MAX(D4:D8),AA197+1,AA197))</f>
        <v>#VALUE!</v>
      </c>
      <c r="AB198" s="1" t="e">
        <f>IF(AA198="","",VLOOKUP(AA198,S4:U53,3,0))</f>
        <v>#VALUE!</v>
      </c>
      <c r="AC198" s="8" t="str">
        <f t="shared" si="158"/>
        <v/>
      </c>
      <c r="AE198" s="71" t="e">
        <f t="shared" si="159"/>
        <v>#VALUE!</v>
      </c>
      <c r="AF198" s="71" t="str">
        <f>IF(OR(COUNTBLANK(AI198)=1,ISERROR(AI198)),"",COUNT(AI4:AI198))</f>
        <v/>
      </c>
      <c r="AG198" s="7" t="e">
        <f t="shared" si="160"/>
        <v>#VALUE!</v>
      </c>
      <c r="AH198" s="1" t="str">
        <f>IF(ISERROR(INDEX(C4:C8,MATCH(G198,D4:D8,0))),"",INDEX(C4:C8,MATCH(G198,D4:D8,0)))</f>
        <v/>
      </c>
      <c r="AI198" s="79" t="e">
        <f>IF(IF(COUNTIF(AI4:AI197,AI196)&gt;=MAX(D4:D8),AI196+2,AI196)&gt;50,"",IF(COUNTIF(AI4:AI197,AI196)&gt;=MAX(D4:D8),AI196+2,AI196))</f>
        <v>#VALUE!</v>
      </c>
      <c r="AJ198" s="1" t="e">
        <f>IF(AI198="","",VLOOKUP(AI198,S4:U53,3,0))</f>
        <v>#VALUE!</v>
      </c>
      <c r="AK198" s="8" t="str">
        <f t="shared" si="161"/>
        <v/>
      </c>
      <c r="AM198" s="71" t="e">
        <f t="shared" si="162"/>
        <v>#VALUE!</v>
      </c>
      <c r="AN198" s="71" t="str">
        <f>IF(OR(COUNTBLANK(AQ198)=1,ISERROR(AQ198)),"",COUNT(AQ4:AQ198))</f>
        <v/>
      </c>
      <c r="AO198" s="7" t="e">
        <f t="shared" si="163"/>
        <v>#VALUE!</v>
      </c>
      <c r="AP198" s="1" t="str">
        <f>IF(ISERROR(INDEX(C4:C8,MATCH(H198,D4:D8,0))),"",INDEX(C4:C8,MATCH(H198,D4:D8,0)))</f>
        <v/>
      </c>
      <c r="AQ198" s="79" t="e">
        <f>IF(IF(COUNTIF(AQ4:AQ197,AQ195)&gt;=MAX(D4:D8),AQ195+3,AQ195)&gt;50,"",IF(COUNTIF(AQ4:AQ197,AQ195)&gt;=MAX(D4:D8),AQ195+3,AQ195))</f>
        <v>#VALUE!</v>
      </c>
      <c r="AR198" s="1" t="e">
        <f>IF(AQ198="","",VLOOKUP(AQ198,S4:U53,3,0))</f>
        <v>#VALUE!</v>
      </c>
      <c r="AS198" s="8" t="str">
        <f t="shared" si="164"/>
        <v/>
      </c>
      <c r="AU198" s="71" t="e">
        <f t="shared" si="165"/>
        <v>#VALUE!</v>
      </c>
      <c r="AV198" s="71" t="str">
        <f>IF(OR(COUNTBLANK(AY198)=1,ISERROR(AY198)),"",COUNT(AY4:AY198))</f>
        <v/>
      </c>
      <c r="AW198" s="7" t="e">
        <f t="shared" si="166"/>
        <v>#VALUE!</v>
      </c>
      <c r="AX198" s="1" t="str">
        <f>IF(ISERROR(INDEX(C4:C8,MATCH(I198,D4:D8,0))),"",INDEX(C4:C8,MATCH(I198,D4:D8,0)))</f>
        <v/>
      </c>
      <c r="AY198" s="79" t="e">
        <f>IF(IF(COUNTIF(AY4:AY197,AY194)&gt;=MAX(D4:D8),AY194+4,AY194)&gt;50,"",IF(COUNTIF(AY4:AY197,AY194)&gt;=MAX(D4:D8),AY194+4,AY194))</f>
        <v>#VALUE!</v>
      </c>
      <c r="AZ198" s="76" t="e">
        <f>IF(AY198="","",VLOOKUP(AY198,S4:U53,3,0))</f>
        <v>#VALUE!</v>
      </c>
      <c r="BA198" s="8" t="str">
        <f t="shared" si="167"/>
        <v/>
      </c>
      <c r="BC198" s="71" t="e">
        <f t="shared" si="168"/>
        <v>#VALUE!</v>
      </c>
      <c r="BD198" s="71" t="str">
        <f>IF(OR(COUNTBLANK(BG198)=1,ISERROR(BG198)),"",COUNT(BG4:BG198))</f>
        <v/>
      </c>
      <c r="BE198" s="7" t="e">
        <f t="shared" si="169"/>
        <v>#VALUE!</v>
      </c>
      <c r="BF198" s="1" t="str">
        <f>IF(ISERROR(INDEX(C4:C8,MATCH(J198,D4:D8,0))),"",INDEX(C4:C8,MATCH(J198,D4:D8,0)))</f>
        <v/>
      </c>
      <c r="BG198" s="79" t="e">
        <f>IF(IF(COUNTIF(BG4:BG197,BG193)&gt;=MAX(D4:D8),BG193+5,BG193)&gt;50,"",IF(COUNTIF(BG4:BG197,BG193)&gt;=MAX(D4:D8),BG193+5,BG193))</f>
        <v>#VALUE!</v>
      </c>
      <c r="BH198" s="76" t="e">
        <f>IF(BG198="","",VLOOKUP(BG198,S4:U53,3,0))</f>
        <v>#VALUE!</v>
      </c>
      <c r="BI198" s="8" t="str">
        <f t="shared" si="170"/>
        <v/>
      </c>
      <c r="BP198" s="71" t="e">
        <f>IF(BT198="","",BT198*10+5)</f>
        <v>#VALUE!</v>
      </c>
      <c r="BQ198" s="71" t="str">
        <f>IF(OR(COUNTBLANK(BT198)=1,ISERROR(BT198)),"",COUNT(BT4:BT198))</f>
        <v/>
      </c>
      <c r="BR198" s="7" t="e">
        <f t="shared" si="172"/>
        <v>#VALUE!</v>
      </c>
      <c r="BS198" s="1" t="str">
        <f t="shared" si="173"/>
        <v/>
      </c>
      <c r="BT198" s="79" t="e">
        <f>IF(IF(COUNTIF($BT$4:BT197,BT197)&gt;=MAX($D$4:$D$8),BT197+1,BT197)&gt;55,"",IF(COUNTIF($BT$4:BT197,BT197)&gt;=MAX($D$4:$D$8),BT197+1,BT197))</f>
        <v>#VALUE!</v>
      </c>
      <c r="BU198" s="1" t="e">
        <f t="shared" si="174"/>
        <v>#VALUE!</v>
      </c>
      <c r="BV198" s="8" t="str">
        <f t="shared" si="175"/>
        <v/>
      </c>
      <c r="BX198" s="71" t="e">
        <f t="shared" si="176"/>
        <v>#VALUE!</v>
      </c>
      <c r="BY198" s="71" t="str">
        <f>IF(OR(COUNTBLANK(CB198)=1,ISERROR(CB198)),"",COUNT($CB$4:CB198))</f>
        <v/>
      </c>
      <c r="BZ198" s="7" t="e">
        <f t="shared" si="177"/>
        <v>#VALUE!</v>
      </c>
      <c r="CA198" s="1" t="str">
        <f t="shared" si="178"/>
        <v/>
      </c>
      <c r="CB198" s="79" t="e">
        <f>IF(IF(COUNTIF($CB$4:CB197,CB196)&gt;=MAX($D$4:$D$8),CB196+2,CB196)&gt;55,"",IF(COUNTIF($CB$4:CB197,CB196)&gt;=MAX($D$4:$D$8),CB196+2,CB196))</f>
        <v>#VALUE!</v>
      </c>
      <c r="CC198" s="1" t="e">
        <f t="shared" si="179"/>
        <v>#VALUE!</v>
      </c>
      <c r="CD198" s="8" t="str">
        <f t="shared" si="180"/>
        <v/>
      </c>
      <c r="CF198" s="71" t="e">
        <f t="shared" si="149"/>
        <v>#VALUE!</v>
      </c>
      <c r="CG198" s="71" t="str">
        <f>IF(OR(COUNTBLANK(CJ198)=1,ISERROR(CJ198)),"",COUNT($CJ$4:CJ198))</f>
        <v/>
      </c>
      <c r="CH198" s="7" t="e">
        <f t="shared" si="150"/>
        <v>#VALUE!</v>
      </c>
      <c r="CI198" s="1" t="str">
        <f t="shared" si="151"/>
        <v/>
      </c>
      <c r="CJ198" s="79" t="e">
        <f>IF(IF(COUNTIF($CJ$4:CJ197,CJ195)&gt;=MAX($D$4:$D$8),CJ195+3,CJ195)&gt;55,"",IF(COUNTIF($CJ$4:CJ197,CJ195)&gt;=MAX($D$4:$D$8),CJ195+3,CJ195))</f>
        <v>#VALUE!</v>
      </c>
      <c r="CK198" s="1" t="e">
        <f t="shared" si="181"/>
        <v>#VALUE!</v>
      </c>
      <c r="CL198" s="8" t="str">
        <f t="shared" si="152"/>
        <v/>
      </c>
      <c r="CN198" s="71" t="e">
        <f t="shared" si="143"/>
        <v>#VALUE!</v>
      </c>
      <c r="CO198" s="71" t="str">
        <f>IF(OR(COUNTBLANK(CR198)=1,ISERROR(CR198)),"",COUNT($CR$4:CR198))</f>
        <v/>
      </c>
      <c r="CP198" s="7" t="e">
        <f t="shared" si="144"/>
        <v>#VALUE!</v>
      </c>
      <c r="CQ198" s="1" t="str">
        <f t="shared" si="145"/>
        <v/>
      </c>
      <c r="CR198" s="79" t="e">
        <f>IF(IF(COUNTIF($CR$4:CR197,CR194)&gt;=MAX($D$4:$D$8),CR194+4,CR194)&gt;55,"",IF(COUNTIF($CR$4:CR197,CR194)&gt;=MAX($D$4:$D$8),CR194+4,CR194))</f>
        <v>#VALUE!</v>
      </c>
      <c r="CS198" s="1" t="e">
        <f t="shared" si="182"/>
        <v>#VALUE!</v>
      </c>
      <c r="CT198" s="8" t="str">
        <f t="shared" si="146"/>
        <v/>
      </c>
      <c r="CV198" s="71" t="e">
        <f t="shared" si="153"/>
        <v>#VALUE!</v>
      </c>
      <c r="CW198" s="71" t="str">
        <f>IF(OR(COUNTBLANK(CZ198)=1,ISERROR(CZ198)),"",COUNT($CZ$4:CZ198))</f>
        <v/>
      </c>
      <c r="CX198" s="7" t="e">
        <f t="shared" si="154"/>
        <v>#VALUE!</v>
      </c>
      <c r="CY198" s="1" t="str">
        <f t="shared" si="155"/>
        <v/>
      </c>
      <c r="CZ198" s="79" t="e">
        <f>IF(IF(COUNTIF($CZ$4:CZ197,CZ193)&gt;=MAX($D$4:$D$8),CZ193+5,CZ193)&gt;55,"",IF(COUNTIF($CZ$4:CZ197,CZ193)&gt;=MAX($D$4:$D$8),CZ193+5,CZ193))</f>
        <v>#VALUE!</v>
      </c>
      <c r="DA198" s="1" t="e">
        <f t="shared" si="183"/>
        <v>#VALUE!</v>
      </c>
      <c r="DB198" s="8" t="str">
        <f t="shared" si="156"/>
        <v/>
      </c>
    </row>
    <row r="199" spans="5:106" x14ac:dyDescent="0.15">
      <c r="E199" s="1">
        <v>196</v>
      </c>
      <c r="F199" s="1">
        <f t="shared" si="184"/>
        <v>1</v>
      </c>
      <c r="G199" s="1">
        <f t="shared" si="147"/>
        <v>1</v>
      </c>
      <c r="H199" s="1">
        <f t="shared" si="141"/>
        <v>1</v>
      </c>
      <c r="I199" s="1">
        <f t="shared" si="142"/>
        <v>1</v>
      </c>
      <c r="J199" s="1">
        <f t="shared" si="148"/>
        <v>1</v>
      </c>
      <c r="L199" s="1" t="str">
        <f>IF(ISERROR(HLOOKUP($C$10,$F$3:$J$253,197,0)),"",HLOOKUP($C$10,$F$3:$J$253,197,0))</f>
        <v/>
      </c>
      <c r="N199" s="67"/>
      <c r="W199" s="71" t="e">
        <f>IF(AA199="","",AA199*10+1)</f>
        <v>#VALUE!</v>
      </c>
      <c r="X199" s="71" t="str">
        <f>IF(OR(COUNTBLANK(AA199)=1,ISERROR(AA199)),"",COUNT(AA4:AA199))</f>
        <v/>
      </c>
      <c r="Y199" s="7" t="e">
        <f t="shared" si="157"/>
        <v>#VALUE!</v>
      </c>
      <c r="Z199" s="1" t="str">
        <f t="shared" si="171"/>
        <v/>
      </c>
      <c r="AA199" s="79" t="e">
        <f>IF(IF(COUNTIF(AA4:AA198,AA198)&gt;=MAX(D4:D8),AA198+1,AA198)&gt;50,"",IF(COUNTIF(AA4:AA198,AA198)&gt;=MAX(D4:D8),AA198+1,AA198))</f>
        <v>#VALUE!</v>
      </c>
      <c r="AB199" s="1" t="e">
        <f>IF(AA199="","",VLOOKUP(AA199,S4:U53,3,0))</f>
        <v>#VALUE!</v>
      </c>
      <c r="AC199" s="8" t="str">
        <f t="shared" si="158"/>
        <v/>
      </c>
      <c r="AE199" s="71" t="e">
        <f t="shared" si="159"/>
        <v>#VALUE!</v>
      </c>
      <c r="AF199" s="71" t="str">
        <f>IF(OR(COUNTBLANK(AI199)=1,ISERROR(AI199)),"",COUNT(AI4:AI199))</f>
        <v/>
      </c>
      <c r="AG199" s="7" t="e">
        <f t="shared" si="160"/>
        <v>#VALUE!</v>
      </c>
      <c r="AH199" s="1" t="str">
        <f>IF(ISERROR(INDEX(C4:C8,MATCH(G199,D4:D8,0))),"",INDEX(C4:C8,MATCH(G199,D4:D8,0)))</f>
        <v/>
      </c>
      <c r="AI199" s="79" t="e">
        <f>IF(IF(COUNTIF(AI4:AI197,AI197)&gt;=MAX(D4:D8),AI197+2,AI197)&gt;50,"",IF(COUNTIF(AI4:AI197,AI197)&gt;=MAX(D4:D8),AI197+2,AI197))</f>
        <v>#VALUE!</v>
      </c>
      <c r="AJ199" s="1" t="e">
        <f>IF(AI199="","",VLOOKUP(AI199,S4:U53,3,0))</f>
        <v>#VALUE!</v>
      </c>
      <c r="AK199" s="8" t="str">
        <f t="shared" si="161"/>
        <v/>
      </c>
      <c r="AM199" s="71" t="e">
        <f t="shared" si="162"/>
        <v>#VALUE!</v>
      </c>
      <c r="AN199" s="71" t="str">
        <f>IF(OR(COUNTBLANK(AQ199)=1,ISERROR(AQ199)),"",COUNT(AQ4:AQ199))</f>
        <v/>
      </c>
      <c r="AO199" s="7" t="e">
        <f t="shared" si="163"/>
        <v>#VALUE!</v>
      </c>
      <c r="AP199" s="1" t="str">
        <f>IF(ISERROR(INDEX(C4:C8,MATCH(H199,D4:D8,0))),"",INDEX(C4:C8,MATCH(H199,D4:D8,0)))</f>
        <v/>
      </c>
      <c r="AQ199" s="79" t="e">
        <f>IF(IF(COUNTIF(AQ4:AQ198,AQ196)&gt;=MAX(D4:D8),AQ196+3,AQ196)&gt;50,"",IF(COUNTIF(AQ4:AQ198,AQ196)&gt;=MAX(D4:D8),AQ196+3,AQ196))</f>
        <v>#VALUE!</v>
      </c>
      <c r="AR199" s="1" t="e">
        <f>IF(AQ199="","",VLOOKUP(AQ199,S4:U53,3,0))</f>
        <v>#VALUE!</v>
      </c>
      <c r="AS199" s="8" t="str">
        <f t="shared" si="164"/>
        <v/>
      </c>
      <c r="AU199" s="71" t="e">
        <f t="shared" si="165"/>
        <v>#VALUE!</v>
      </c>
      <c r="AV199" s="71" t="str">
        <f>IF(OR(COUNTBLANK(AY199)=1,ISERROR(AY199)),"",COUNT(AY4:AY199))</f>
        <v/>
      </c>
      <c r="AW199" s="7" t="e">
        <f t="shared" si="166"/>
        <v>#VALUE!</v>
      </c>
      <c r="AX199" s="1" t="str">
        <f>IF(ISERROR(INDEX(C4:C8,MATCH(I199,D4:D8,0))),"",INDEX(C4:C8,MATCH(I199,D4:D8,0)))</f>
        <v/>
      </c>
      <c r="AY199" s="79" t="e">
        <f>IF(IF(COUNTIF(AY4:AY198,AY195)&gt;=MAX(D4:D8),AY195+4,AY195)&gt;50,"",IF(COUNTIF(AY4:AY198,AY195)&gt;=MAX(D4:D8),AY195+4,AY195))</f>
        <v>#VALUE!</v>
      </c>
      <c r="AZ199" s="76" t="e">
        <f>IF(AY199="","",VLOOKUP(AY199,S4:U53,3,0))</f>
        <v>#VALUE!</v>
      </c>
      <c r="BA199" s="8" t="str">
        <f t="shared" si="167"/>
        <v/>
      </c>
      <c r="BC199" s="71" t="e">
        <f t="shared" si="168"/>
        <v>#VALUE!</v>
      </c>
      <c r="BD199" s="71" t="str">
        <f>IF(OR(COUNTBLANK(BG199)=1,ISERROR(BG199)),"",COUNT(BG4:BG199))</f>
        <v/>
      </c>
      <c r="BE199" s="7" t="e">
        <f t="shared" si="169"/>
        <v>#VALUE!</v>
      </c>
      <c r="BF199" s="1" t="str">
        <f>IF(ISERROR(INDEX(C4:C8,MATCH(J199,D4:D8,0))),"",INDEX(C4:C8,MATCH(J199,D4:D8,0)))</f>
        <v/>
      </c>
      <c r="BG199" s="79" t="e">
        <f>IF(IF(COUNTIF(BG4:BG198,BG194)&gt;=MAX(D4:D8),BG194+5,BG194)&gt;50,"",IF(COUNTIF(BG4:BG198,BG194)&gt;=MAX(D4:D8),BG194+5,BG194))</f>
        <v>#VALUE!</v>
      </c>
      <c r="BH199" s="76" t="e">
        <f>IF(BG199="","",VLOOKUP(BG199,S4:U53,3,0))</f>
        <v>#VALUE!</v>
      </c>
      <c r="BI199" s="8" t="str">
        <f t="shared" si="170"/>
        <v/>
      </c>
      <c r="BP199" s="71" t="e">
        <f>IF(BT199="","",BT199*10+1)</f>
        <v>#VALUE!</v>
      </c>
      <c r="BQ199" s="71" t="str">
        <f>IF(OR(COUNTBLANK(BT199)=1,ISERROR(BT199)),"",COUNT(BT4:BT199))</f>
        <v/>
      </c>
      <c r="BR199" s="7" t="e">
        <f t="shared" si="172"/>
        <v>#VALUE!</v>
      </c>
      <c r="BS199" s="1" t="str">
        <f t="shared" si="173"/>
        <v/>
      </c>
      <c r="BT199" s="79" t="e">
        <f>IF(IF(COUNTIF($BT$4:BT198,BT198)&gt;=MAX($D$4:$D$8),BT198+1,BT198)&gt;55,"",IF(COUNTIF($BT$4:BT198,BT198)&gt;=MAX($D$4:$D$8),BT198+1,BT198))</f>
        <v>#VALUE!</v>
      </c>
      <c r="BU199" s="1" t="e">
        <f t="shared" si="174"/>
        <v>#VALUE!</v>
      </c>
      <c r="BV199" s="8" t="str">
        <f t="shared" si="175"/>
        <v/>
      </c>
      <c r="BX199" s="71" t="e">
        <f t="shared" si="176"/>
        <v>#VALUE!</v>
      </c>
      <c r="BY199" s="71" t="str">
        <f>IF(OR(COUNTBLANK(CB199)=1,ISERROR(CB199)),"",COUNT($CB$4:CB199))</f>
        <v/>
      </c>
      <c r="BZ199" s="7" t="e">
        <f t="shared" si="177"/>
        <v>#VALUE!</v>
      </c>
      <c r="CA199" s="1" t="str">
        <f t="shared" si="178"/>
        <v/>
      </c>
      <c r="CB199" s="79" t="e">
        <f>IF(IF(COUNTIF($CB$4:CB198,CB197)&gt;=MAX($D$4:$D$8),CB197+2,CB197)&gt;55,"",IF(COUNTIF($CB$4:CB198,CB197)&gt;=MAX($D$4:$D$8),CB197+2,CB197))</f>
        <v>#VALUE!</v>
      </c>
      <c r="CC199" s="1" t="e">
        <f t="shared" si="179"/>
        <v>#VALUE!</v>
      </c>
      <c r="CD199" s="8" t="str">
        <f t="shared" si="180"/>
        <v/>
      </c>
      <c r="CF199" s="71" t="e">
        <f t="shared" si="149"/>
        <v>#VALUE!</v>
      </c>
      <c r="CG199" s="71" t="str">
        <f>IF(OR(COUNTBLANK(CJ199)=1,ISERROR(CJ199)),"",COUNT($CJ$4:CJ199))</f>
        <v/>
      </c>
      <c r="CH199" s="7" t="e">
        <f t="shared" si="150"/>
        <v>#VALUE!</v>
      </c>
      <c r="CI199" s="1" t="str">
        <f t="shared" si="151"/>
        <v/>
      </c>
      <c r="CJ199" s="79" t="e">
        <f>IF(IF(COUNTIF($CJ$4:CJ198,CJ196)&gt;=MAX($D$4:$D$8),CJ196+3,CJ196)&gt;55,"",IF(COUNTIF($CJ$4:CJ198,CJ196)&gt;=MAX($D$4:$D$8),CJ196+3,CJ196))</f>
        <v>#VALUE!</v>
      </c>
      <c r="CK199" s="1" t="e">
        <f t="shared" si="181"/>
        <v>#VALUE!</v>
      </c>
      <c r="CL199" s="8" t="str">
        <f t="shared" si="152"/>
        <v/>
      </c>
      <c r="CN199" s="71" t="e">
        <f t="shared" si="143"/>
        <v>#VALUE!</v>
      </c>
      <c r="CO199" s="71" t="str">
        <f>IF(OR(COUNTBLANK(CR199)=1,ISERROR(CR199)),"",COUNT($CR$4:CR199))</f>
        <v/>
      </c>
      <c r="CP199" s="7" t="e">
        <f t="shared" si="144"/>
        <v>#VALUE!</v>
      </c>
      <c r="CQ199" s="1" t="str">
        <f t="shared" si="145"/>
        <v/>
      </c>
      <c r="CR199" s="79" t="e">
        <f>IF(IF(COUNTIF($CR$4:CR198,CR195)&gt;=MAX($D$4:$D$8),CR195+4,CR195)&gt;55,"",IF(COUNTIF($CR$4:CR198,CR195)&gt;=MAX($D$4:$D$8),CR195+4,CR195))</f>
        <v>#VALUE!</v>
      </c>
      <c r="CS199" s="1" t="e">
        <f t="shared" si="182"/>
        <v>#VALUE!</v>
      </c>
      <c r="CT199" s="8" t="str">
        <f t="shared" si="146"/>
        <v/>
      </c>
      <c r="CV199" s="71" t="e">
        <f t="shared" si="153"/>
        <v>#VALUE!</v>
      </c>
      <c r="CW199" s="71" t="str">
        <f>IF(OR(COUNTBLANK(CZ199)=1,ISERROR(CZ199)),"",COUNT($CZ$4:CZ199))</f>
        <v/>
      </c>
      <c r="CX199" s="7" t="e">
        <f t="shared" si="154"/>
        <v>#VALUE!</v>
      </c>
      <c r="CY199" s="1" t="str">
        <f t="shared" si="155"/>
        <v/>
      </c>
      <c r="CZ199" s="79" t="e">
        <f>IF(IF(COUNTIF($CZ$4:CZ198,CZ194)&gt;=MAX($D$4:$D$8),CZ194+5,CZ194)&gt;55,"",IF(COUNTIF($CZ$4:CZ198,CZ194)&gt;=MAX($D$4:$D$8),CZ194+5,CZ194))</f>
        <v>#VALUE!</v>
      </c>
      <c r="DA199" s="1" t="e">
        <f t="shared" si="183"/>
        <v>#VALUE!</v>
      </c>
      <c r="DB199" s="8" t="str">
        <f t="shared" si="156"/>
        <v/>
      </c>
    </row>
    <row r="200" spans="5:106" x14ac:dyDescent="0.15">
      <c r="E200" s="1">
        <v>197</v>
      </c>
      <c r="F200" s="1">
        <f t="shared" si="184"/>
        <v>1</v>
      </c>
      <c r="G200" s="1">
        <f t="shared" si="147"/>
        <v>1</v>
      </c>
      <c r="H200" s="1">
        <f t="shared" ref="H200:H263" si="185">IF(H197+1&gt;MAX($D$4:$D$8),1,H197+1)</f>
        <v>1</v>
      </c>
      <c r="I200" s="1">
        <f t="shared" si="142"/>
        <v>1</v>
      </c>
      <c r="J200" s="1">
        <f t="shared" si="148"/>
        <v>1</v>
      </c>
      <c r="L200" s="1" t="str">
        <f>IF(ISERROR(HLOOKUP($C$10,$F$3:$J$253,198,0)),"",HLOOKUP($C$10,$F$3:$J$253,198,0))</f>
        <v/>
      </c>
      <c r="N200" s="67"/>
      <c r="W200" s="71" t="e">
        <f>IF(AA200="","",AA200*10+2)</f>
        <v>#VALUE!</v>
      </c>
      <c r="X200" s="71" t="str">
        <f>IF(OR(COUNTBLANK(AA200)=1,ISERROR(AA200)),"",COUNT(AA4:AA200))</f>
        <v/>
      </c>
      <c r="Y200" s="7" t="e">
        <f t="shared" si="157"/>
        <v>#VALUE!</v>
      </c>
      <c r="Z200" s="1" t="str">
        <f t="shared" si="171"/>
        <v/>
      </c>
      <c r="AA200" s="79" t="e">
        <f>IF(IF(COUNTIF(AA4:AA199,AA199)&gt;=MAX(D4:D8),AA199+1,AA199)&gt;50,"",IF(COUNTIF(AA4:AA199,AA199)&gt;=MAX(D4:D8),AA199+1,AA199))</f>
        <v>#VALUE!</v>
      </c>
      <c r="AB200" s="1" t="e">
        <f>IF(AA200="","",VLOOKUP(AA200,S4:U53,3,0))</f>
        <v>#VALUE!</v>
      </c>
      <c r="AC200" s="8" t="str">
        <f t="shared" si="158"/>
        <v/>
      </c>
      <c r="AE200" s="71" t="e">
        <f t="shared" si="159"/>
        <v>#VALUE!</v>
      </c>
      <c r="AF200" s="71" t="str">
        <f>IF(OR(COUNTBLANK(AI200)=1,ISERROR(AI200)),"",COUNT(AI4:AI200))</f>
        <v/>
      </c>
      <c r="AG200" s="7" t="e">
        <f t="shared" si="160"/>
        <v>#VALUE!</v>
      </c>
      <c r="AH200" s="1" t="str">
        <f>IF(ISERROR(INDEX(C4:C8,MATCH(G200,D4:D8,0))),"",INDEX(C4:C8,MATCH(G200,D4:D8,0)))</f>
        <v/>
      </c>
      <c r="AI200" s="79" t="e">
        <f>IF(IF(COUNTIF(AI4:AI199,AI198)&gt;=MAX(D4:D8),AI198+2,AI198)&gt;50,"",IF(COUNTIF(AI4:AI199,AI198)&gt;=MAX(D4:D8),AI198+2,AI198))</f>
        <v>#VALUE!</v>
      </c>
      <c r="AJ200" s="1" t="e">
        <f>IF(AI200="","",VLOOKUP(AI200,S4:U53,3,0))</f>
        <v>#VALUE!</v>
      </c>
      <c r="AK200" s="8" t="str">
        <f t="shared" si="161"/>
        <v/>
      </c>
      <c r="AM200" s="71" t="e">
        <f t="shared" si="162"/>
        <v>#VALUE!</v>
      </c>
      <c r="AN200" s="71" t="str">
        <f>IF(OR(COUNTBLANK(AQ200)=1,ISERROR(AQ200)),"",COUNT(AQ4:AQ200))</f>
        <v/>
      </c>
      <c r="AO200" s="7" t="e">
        <f t="shared" si="163"/>
        <v>#VALUE!</v>
      </c>
      <c r="AP200" s="1" t="str">
        <f>IF(ISERROR(INDEX(C4:C8,MATCH(H200,D4:D8,0))),"",INDEX(C4:C8,MATCH(H200,D4:D8,0)))</f>
        <v/>
      </c>
      <c r="AQ200" s="79" t="e">
        <f>IF(IF(COUNTIF(AQ4:AQ199,AQ197)&gt;=MAX(D4:D8),AQ197+3,AQ197)&gt;50,"",IF(COUNTIF(AQ4:AQ199,AQ197)&gt;=MAX(D4:D8),AQ197+3,AQ197))</f>
        <v>#VALUE!</v>
      </c>
      <c r="AR200" s="1" t="e">
        <f>IF(AQ200="","",VLOOKUP(AQ200,S4:U53,3,0))</f>
        <v>#VALUE!</v>
      </c>
      <c r="AS200" s="8" t="str">
        <f t="shared" si="164"/>
        <v/>
      </c>
      <c r="AU200" s="71" t="e">
        <f t="shared" si="165"/>
        <v>#VALUE!</v>
      </c>
      <c r="AV200" s="71" t="str">
        <f>IF(OR(COUNTBLANK(AY200)=1,ISERROR(AY200)),"",COUNT(AY4:AY200))</f>
        <v/>
      </c>
      <c r="AW200" s="7" t="e">
        <f t="shared" si="166"/>
        <v>#VALUE!</v>
      </c>
      <c r="AX200" s="1" t="str">
        <f>IF(ISERROR(INDEX(C4:C8,MATCH(I200,D4:D8,0))),"",INDEX(C4:C8,MATCH(I200,D4:D8,0)))</f>
        <v/>
      </c>
      <c r="AY200" s="79" t="e">
        <f>IF(IF(COUNTIF(AY4:AY199,AY196)&gt;=MAX(D4:D8),AY196+4,AY196)&gt;50,"",IF(COUNTIF(AY4:AY199,AY196)&gt;=MAX(D4:D8),AY196+4,AY196))</f>
        <v>#VALUE!</v>
      </c>
      <c r="AZ200" s="76" t="e">
        <f>IF(AY200="","",VLOOKUP(AY200,S4:U53,3,0))</f>
        <v>#VALUE!</v>
      </c>
      <c r="BA200" s="8" t="str">
        <f t="shared" si="167"/>
        <v/>
      </c>
      <c r="BC200" s="71" t="e">
        <f t="shared" si="168"/>
        <v>#VALUE!</v>
      </c>
      <c r="BD200" s="71" t="str">
        <f>IF(OR(COUNTBLANK(BG200)=1,ISERROR(BG200)),"",COUNT(BG4:BG200))</f>
        <v/>
      </c>
      <c r="BE200" s="7" t="e">
        <f t="shared" si="169"/>
        <v>#VALUE!</v>
      </c>
      <c r="BF200" s="1" t="str">
        <f>IF(ISERROR(INDEX(C4:C8,MATCH(J200,D4:D8,0))),"",INDEX(C4:C8,MATCH(J200,D4:D8,0)))</f>
        <v/>
      </c>
      <c r="BG200" s="79" t="e">
        <f>IF(IF(COUNTIF(BG4:BG199,BG195)&gt;=MAX(D4:D8),BG195+5,BG195)&gt;50,"",IF(COUNTIF(BG4:BG199,BG195)&gt;=MAX(D4:D8),BG195+5,BG195))</f>
        <v>#VALUE!</v>
      </c>
      <c r="BH200" s="76" t="e">
        <f>IF(BG200="","",VLOOKUP(BG200,S4:U53,3,0))</f>
        <v>#VALUE!</v>
      </c>
      <c r="BI200" s="8" t="str">
        <f t="shared" si="170"/>
        <v/>
      </c>
      <c r="BP200" s="71" t="e">
        <f>IF(BT200="","",BT200*10+2)</f>
        <v>#VALUE!</v>
      </c>
      <c r="BQ200" s="71" t="str">
        <f>IF(OR(COUNTBLANK(BT200)=1,ISERROR(BT200)),"",COUNT(BT4:BT200))</f>
        <v/>
      </c>
      <c r="BR200" s="7" t="e">
        <f t="shared" si="172"/>
        <v>#VALUE!</v>
      </c>
      <c r="BS200" s="1" t="str">
        <f t="shared" si="173"/>
        <v/>
      </c>
      <c r="BT200" s="79" t="e">
        <f>IF(IF(COUNTIF($BT$4:BT199,BT199)&gt;=MAX($D$4:$D$8),BT199+1,BT199)&gt;55,"",IF(COUNTIF($BT$4:BT199,BT199)&gt;=MAX($D$4:$D$8),BT199+1,BT199))</f>
        <v>#VALUE!</v>
      </c>
      <c r="BU200" s="1" t="e">
        <f t="shared" si="174"/>
        <v>#VALUE!</v>
      </c>
      <c r="BV200" s="8" t="str">
        <f t="shared" si="175"/>
        <v/>
      </c>
      <c r="BX200" s="71" t="e">
        <f t="shared" si="176"/>
        <v>#VALUE!</v>
      </c>
      <c r="BY200" s="71" t="str">
        <f>IF(OR(COUNTBLANK(CB200)=1,ISERROR(CB200)),"",COUNT($CB$4:CB200))</f>
        <v/>
      </c>
      <c r="BZ200" s="7" t="e">
        <f t="shared" si="177"/>
        <v>#VALUE!</v>
      </c>
      <c r="CA200" s="1" t="str">
        <f t="shared" si="178"/>
        <v/>
      </c>
      <c r="CB200" s="79" t="e">
        <f>IF(IF(COUNTIF($CB$4:CB199,CB198)&gt;=MAX($D$4:$D$8),CB198+2,CB198)&gt;55,"",IF(COUNTIF($CB$4:CB199,CB198)&gt;=MAX($D$4:$D$8),CB198+2,CB198))</f>
        <v>#VALUE!</v>
      </c>
      <c r="CC200" s="1" t="e">
        <f t="shared" si="179"/>
        <v>#VALUE!</v>
      </c>
      <c r="CD200" s="8" t="str">
        <f t="shared" si="180"/>
        <v/>
      </c>
      <c r="CF200" s="71" t="e">
        <f t="shared" si="149"/>
        <v>#VALUE!</v>
      </c>
      <c r="CG200" s="71" t="str">
        <f>IF(OR(COUNTBLANK(CJ200)=1,ISERROR(CJ200)),"",COUNT($CJ$4:CJ200))</f>
        <v/>
      </c>
      <c r="CH200" s="7" t="e">
        <f t="shared" si="150"/>
        <v>#VALUE!</v>
      </c>
      <c r="CI200" s="1" t="str">
        <f t="shared" si="151"/>
        <v/>
      </c>
      <c r="CJ200" s="79" t="e">
        <f>IF(IF(COUNTIF($CJ$4:CJ199,CJ197)&gt;=MAX($D$4:$D$8),CJ197+3,CJ197)&gt;55,"",IF(COUNTIF($CJ$4:CJ199,CJ197)&gt;=MAX($D$4:$D$8),CJ197+3,CJ197))</f>
        <v>#VALUE!</v>
      </c>
      <c r="CK200" s="1" t="e">
        <f t="shared" si="181"/>
        <v>#VALUE!</v>
      </c>
      <c r="CL200" s="8" t="str">
        <f t="shared" si="152"/>
        <v/>
      </c>
      <c r="CN200" s="71" t="e">
        <f t="shared" si="143"/>
        <v>#VALUE!</v>
      </c>
      <c r="CO200" s="71" t="str">
        <f>IF(OR(COUNTBLANK(CR200)=1,ISERROR(CR200)),"",COUNT($CR$4:CR200))</f>
        <v/>
      </c>
      <c r="CP200" s="7" t="e">
        <f t="shared" si="144"/>
        <v>#VALUE!</v>
      </c>
      <c r="CQ200" s="1" t="str">
        <f t="shared" si="145"/>
        <v/>
      </c>
      <c r="CR200" s="79" t="e">
        <f>IF(IF(COUNTIF($CR$4:CR199,CR196)&gt;=MAX($D$4:$D$8),CR196+4,CR196)&gt;55,"",IF(COUNTIF($CR$4:CR199,CR196)&gt;=MAX($D$4:$D$8),CR196+4,CR196))</f>
        <v>#VALUE!</v>
      </c>
      <c r="CS200" s="1" t="e">
        <f t="shared" si="182"/>
        <v>#VALUE!</v>
      </c>
      <c r="CT200" s="8" t="str">
        <f t="shared" si="146"/>
        <v/>
      </c>
      <c r="CV200" s="71" t="e">
        <f t="shared" si="153"/>
        <v>#VALUE!</v>
      </c>
      <c r="CW200" s="71" t="str">
        <f>IF(OR(COUNTBLANK(CZ200)=1,ISERROR(CZ200)),"",COUNT($CZ$4:CZ200))</f>
        <v/>
      </c>
      <c r="CX200" s="7" t="e">
        <f t="shared" si="154"/>
        <v>#VALUE!</v>
      </c>
      <c r="CY200" s="1" t="str">
        <f t="shared" si="155"/>
        <v/>
      </c>
      <c r="CZ200" s="79" t="e">
        <f>IF(IF(COUNTIF($CZ$4:CZ199,CZ195)&gt;=MAX($D$4:$D$8),CZ195+5,CZ195)&gt;55,"",IF(COUNTIF($CZ$4:CZ199,CZ195)&gt;=MAX($D$4:$D$8),CZ195+5,CZ195))</f>
        <v>#VALUE!</v>
      </c>
      <c r="DA200" s="1" t="e">
        <f t="shared" si="183"/>
        <v>#VALUE!</v>
      </c>
      <c r="DB200" s="8" t="str">
        <f t="shared" si="156"/>
        <v/>
      </c>
    </row>
    <row r="201" spans="5:106" x14ac:dyDescent="0.15">
      <c r="E201" s="1">
        <v>198</v>
      </c>
      <c r="F201" s="1">
        <f t="shared" si="184"/>
        <v>1</v>
      </c>
      <c r="G201" s="1">
        <f t="shared" si="147"/>
        <v>1</v>
      </c>
      <c r="H201" s="1">
        <f t="shared" si="185"/>
        <v>1</v>
      </c>
      <c r="I201" s="1">
        <f t="shared" ref="I201:I264" si="186">IF(I197+1&gt;MAX($D$4:$D$8),1,I197+1)</f>
        <v>1</v>
      </c>
      <c r="J201" s="1">
        <f t="shared" si="148"/>
        <v>1</v>
      </c>
      <c r="L201" s="1" t="str">
        <f>IF(ISERROR(HLOOKUP($C$10,$F$3:$J$253,199,0)),"",HLOOKUP($C$10,$F$3:$J$253,199,0))</f>
        <v/>
      </c>
      <c r="N201" s="67"/>
      <c r="W201" s="71" t="e">
        <f>IF(AA201="","",AA201*10+3)</f>
        <v>#VALUE!</v>
      </c>
      <c r="X201" s="71" t="str">
        <f>IF(OR(COUNTBLANK(AA201)=1,ISERROR(AA201)),"",COUNT(AA4:AA201))</f>
        <v/>
      </c>
      <c r="Y201" s="7" t="e">
        <f t="shared" si="157"/>
        <v>#VALUE!</v>
      </c>
      <c r="Z201" s="1" t="str">
        <f t="shared" si="171"/>
        <v/>
      </c>
      <c r="AA201" s="79" t="e">
        <f>IF(IF(COUNTIF(AA4:AA200,AA200)&gt;=MAX(D4:D8),AA200+1,AA200)&gt;50,"",IF(COUNTIF(AA4:AA200,AA200)&gt;=MAX(D4:D8),AA200+1,AA200))</f>
        <v>#VALUE!</v>
      </c>
      <c r="AB201" s="1" t="e">
        <f>IF(AA201="","",VLOOKUP(AA201,S4:U53,3,0))</f>
        <v>#VALUE!</v>
      </c>
      <c r="AC201" s="8" t="str">
        <f t="shared" si="158"/>
        <v/>
      </c>
      <c r="AE201" s="71" t="e">
        <f t="shared" si="159"/>
        <v>#VALUE!</v>
      </c>
      <c r="AF201" s="71" t="str">
        <f>IF(OR(COUNTBLANK(AI201)=1,ISERROR(AI201)),"",COUNT(AI4:AI201))</f>
        <v/>
      </c>
      <c r="AG201" s="7" t="e">
        <f t="shared" si="160"/>
        <v>#VALUE!</v>
      </c>
      <c r="AH201" s="1" t="str">
        <f>IF(ISERROR(INDEX(C4:C8,MATCH(G201,D4:D8,0))),"",INDEX(C4:C8,MATCH(G201,D4:D8,0)))</f>
        <v/>
      </c>
      <c r="AI201" s="79" t="e">
        <f>IF(IF(COUNTIF(AI4:AI199,AI199)&gt;=MAX(D4:D8),AI199+2,AI199)&gt;50,"",IF(COUNTIF(AI4:AI199,AI199)&gt;=MAX(D4:D8),AI199+2,AI199))</f>
        <v>#VALUE!</v>
      </c>
      <c r="AJ201" s="1" t="e">
        <f>IF(AI201="","",VLOOKUP(AI201,S4:U53,3,0))</f>
        <v>#VALUE!</v>
      </c>
      <c r="AK201" s="8" t="str">
        <f t="shared" si="161"/>
        <v/>
      </c>
      <c r="AM201" s="71" t="e">
        <f t="shared" si="162"/>
        <v>#VALUE!</v>
      </c>
      <c r="AN201" s="71" t="str">
        <f>IF(OR(COUNTBLANK(AQ201)=1,ISERROR(AQ201)),"",COUNT(AQ4:AQ201))</f>
        <v/>
      </c>
      <c r="AO201" s="7" t="e">
        <f t="shared" si="163"/>
        <v>#VALUE!</v>
      </c>
      <c r="AP201" s="1" t="str">
        <f>IF(ISERROR(INDEX(C4:C8,MATCH(H201,D4:D8,0))),"",INDEX(C4:C8,MATCH(H201,D4:D8,0)))</f>
        <v/>
      </c>
      <c r="AQ201" s="79" t="e">
        <f>IF(IF(COUNTIF(AQ4:AQ200,AQ198)&gt;=MAX(D4:D8),AQ198+3,AQ198)&gt;50,"",IF(COUNTIF(AQ4:AQ200,AQ198)&gt;=MAX(D4:D8),AQ198+3,AQ198))</f>
        <v>#VALUE!</v>
      </c>
      <c r="AR201" s="1" t="e">
        <f>IF(AQ201="","",VLOOKUP(AQ201,S4:U53,3,0))</f>
        <v>#VALUE!</v>
      </c>
      <c r="AS201" s="8" t="str">
        <f t="shared" si="164"/>
        <v/>
      </c>
      <c r="AU201" s="71" t="e">
        <f t="shared" si="165"/>
        <v>#VALUE!</v>
      </c>
      <c r="AV201" s="71" t="str">
        <f>IF(OR(COUNTBLANK(AY201)=1,ISERROR(AY201)),"",COUNT(AY4:AY201))</f>
        <v/>
      </c>
      <c r="AW201" s="7" t="e">
        <f t="shared" si="166"/>
        <v>#VALUE!</v>
      </c>
      <c r="AX201" s="1" t="str">
        <f>IF(ISERROR(INDEX(C4:C8,MATCH(I201,D4:D8,0))),"",INDEX(C4:C8,MATCH(I201,D4:D8,0)))</f>
        <v/>
      </c>
      <c r="AY201" s="79" t="e">
        <f>IF(IF(COUNTIF(AY4:AY200,AY197)&gt;=MAX(D4:D8),AY197+4,AY197)&gt;50,"",IF(COUNTIF(AY4:AY200,AY197)&gt;=MAX(D4:D8),AY197+4,AY197))</f>
        <v>#VALUE!</v>
      </c>
      <c r="AZ201" s="76" t="e">
        <f>IF(AY201="","",VLOOKUP(AY201,S4:U53,3,0))</f>
        <v>#VALUE!</v>
      </c>
      <c r="BA201" s="8" t="str">
        <f t="shared" si="167"/>
        <v/>
      </c>
      <c r="BC201" s="71" t="e">
        <f t="shared" si="168"/>
        <v>#VALUE!</v>
      </c>
      <c r="BD201" s="71" t="str">
        <f>IF(OR(COUNTBLANK(BG201)=1,ISERROR(BG201)),"",COUNT(BG4:BG201))</f>
        <v/>
      </c>
      <c r="BE201" s="7" t="e">
        <f t="shared" si="169"/>
        <v>#VALUE!</v>
      </c>
      <c r="BF201" s="1" t="str">
        <f>IF(ISERROR(INDEX(C4:C8,MATCH(J201,D4:D8,0))),"",INDEX(C4:C8,MATCH(J201,D4:D8,0)))</f>
        <v/>
      </c>
      <c r="BG201" s="79" t="e">
        <f>IF(IF(COUNTIF(BG4:BG200,BG196)&gt;=MAX(D4:D8),BG196+5,BG196)&gt;50,"",IF(COUNTIF(BG4:BG200,BG196)&gt;=MAX(D4:D8),BG196+5,BG196))</f>
        <v>#VALUE!</v>
      </c>
      <c r="BH201" s="76" t="e">
        <f>IF(BG201="","",VLOOKUP(BG201,S4:U53,3,0))</f>
        <v>#VALUE!</v>
      </c>
      <c r="BI201" s="8" t="str">
        <f t="shared" si="170"/>
        <v/>
      </c>
      <c r="BP201" s="71" t="e">
        <f>IF(BT201="","",BT201*10+3)</f>
        <v>#VALUE!</v>
      </c>
      <c r="BQ201" s="71" t="str">
        <f>IF(OR(COUNTBLANK(BT201)=1,ISERROR(BT201)),"",COUNT(BT4:BT201))</f>
        <v/>
      </c>
      <c r="BR201" s="7" t="e">
        <f t="shared" si="172"/>
        <v>#VALUE!</v>
      </c>
      <c r="BS201" s="1" t="str">
        <f t="shared" si="173"/>
        <v/>
      </c>
      <c r="BT201" s="79" t="e">
        <f>IF(IF(COUNTIF($BT$4:BT200,BT200)&gt;=MAX($D$4:$D$8),BT200+1,BT200)&gt;55,"",IF(COUNTIF($BT$4:BT200,BT200)&gt;=MAX($D$4:$D$8),BT200+1,BT200))</f>
        <v>#VALUE!</v>
      </c>
      <c r="BU201" s="1" t="e">
        <f t="shared" si="174"/>
        <v>#VALUE!</v>
      </c>
      <c r="BV201" s="8" t="str">
        <f t="shared" si="175"/>
        <v/>
      </c>
      <c r="BX201" s="71" t="e">
        <f t="shared" si="176"/>
        <v>#VALUE!</v>
      </c>
      <c r="BY201" s="71" t="str">
        <f>IF(OR(COUNTBLANK(CB201)=1,ISERROR(CB201)),"",COUNT($CB$4:CB201))</f>
        <v/>
      </c>
      <c r="BZ201" s="7" t="e">
        <f t="shared" si="177"/>
        <v>#VALUE!</v>
      </c>
      <c r="CA201" s="1" t="str">
        <f t="shared" si="178"/>
        <v/>
      </c>
      <c r="CB201" s="79" t="e">
        <f>IF(IF(COUNTIF($CB$4:CB200,CB199)&gt;=MAX($D$4:$D$8),CB199+2,CB199)&gt;55,"",IF(COUNTIF($CB$4:CB200,CB199)&gt;=MAX($D$4:$D$8),CB199+2,CB199))</f>
        <v>#VALUE!</v>
      </c>
      <c r="CC201" s="1" t="e">
        <f t="shared" si="179"/>
        <v>#VALUE!</v>
      </c>
      <c r="CD201" s="8" t="str">
        <f t="shared" si="180"/>
        <v/>
      </c>
      <c r="CF201" s="71" t="e">
        <f t="shared" si="149"/>
        <v>#VALUE!</v>
      </c>
      <c r="CG201" s="71" t="str">
        <f>IF(OR(COUNTBLANK(CJ201)=1,ISERROR(CJ201)),"",COUNT($CJ$4:CJ201))</f>
        <v/>
      </c>
      <c r="CH201" s="7" t="e">
        <f t="shared" si="150"/>
        <v>#VALUE!</v>
      </c>
      <c r="CI201" s="1" t="str">
        <f t="shared" si="151"/>
        <v/>
      </c>
      <c r="CJ201" s="79" t="e">
        <f>IF(IF(COUNTIF($CJ$4:CJ200,CJ198)&gt;=MAX($D$4:$D$8),CJ198+3,CJ198)&gt;55,"",IF(COUNTIF($CJ$4:CJ200,CJ198)&gt;=MAX($D$4:$D$8),CJ198+3,CJ198))</f>
        <v>#VALUE!</v>
      </c>
      <c r="CK201" s="1" t="e">
        <f t="shared" si="181"/>
        <v>#VALUE!</v>
      </c>
      <c r="CL201" s="8" t="str">
        <f t="shared" si="152"/>
        <v/>
      </c>
      <c r="CN201" s="71" t="e">
        <f t="shared" ref="CN201:CN264" si="187">IF(CR201="","",CR201*10+I201)</f>
        <v>#VALUE!</v>
      </c>
      <c r="CO201" s="71" t="str">
        <f>IF(OR(COUNTBLANK(CR201)=1,ISERROR(CR201)),"",COUNT($CR$4:CR201))</f>
        <v/>
      </c>
      <c r="CP201" s="7" t="e">
        <f t="shared" ref="CP201:CP264" si="188">IF(CR201&gt;25,"ナビ・","1・2年のWナビ・")</f>
        <v>#VALUE!</v>
      </c>
      <c r="CQ201" s="1" t="str">
        <f t="shared" ref="CQ201:CQ264" si="189">IF(ISERROR(INDEX($C$4:$C$8,MATCH(I201,$D$4:$D$8,0))),"",INDEX($C$4:$C$8,MATCH(I201,$D$4:$D$8,0)))</f>
        <v/>
      </c>
      <c r="CR201" s="79" t="e">
        <f>IF(IF(COUNTIF($CR$4:CR200,CR197)&gt;=MAX($D$4:$D$8),CR197+4,CR197)&gt;55,"",IF(COUNTIF($CR$4:CR200,CR197)&gt;=MAX($D$4:$D$8),CR197+4,CR197))</f>
        <v>#VALUE!</v>
      </c>
      <c r="CS201" s="1" t="e">
        <f t="shared" si="182"/>
        <v>#VALUE!</v>
      </c>
      <c r="CT201" s="8" t="str">
        <f t="shared" ref="CT201:CT264" si="190">IF(ISERROR(IF(COUNTIF(CQ201:CS201,"")&gt;=1,"",CP201&amp;CQ201&amp;"【"&amp;VLOOKUP(CR201,$BL$4:$BN$58,2,0)&amp;"】"&amp;CS201)),"",IF(COUNTIF(CQ201:CS201,"")&gt;=1,"",CP201&amp;CQ201&amp;"【"&amp;VLOOKUP(CR201,$BL$4:$BN$58,2,0)&amp;"】"&amp;CS201))</f>
        <v/>
      </c>
      <c r="CV201" s="71" t="e">
        <f t="shared" si="153"/>
        <v>#VALUE!</v>
      </c>
      <c r="CW201" s="71" t="str">
        <f>IF(OR(COUNTBLANK(CZ201)=1,ISERROR(CZ201)),"",COUNT($CZ$4:CZ201))</f>
        <v/>
      </c>
      <c r="CX201" s="7" t="e">
        <f t="shared" si="154"/>
        <v>#VALUE!</v>
      </c>
      <c r="CY201" s="1" t="str">
        <f t="shared" si="155"/>
        <v/>
      </c>
      <c r="CZ201" s="79" t="e">
        <f>IF(IF(COUNTIF($CZ$4:CZ200,CZ196)&gt;=MAX($D$4:$D$8),CZ196+5,CZ196)&gt;55,"",IF(COUNTIF($CZ$4:CZ200,CZ196)&gt;=MAX($D$4:$D$8),CZ196+5,CZ196))</f>
        <v>#VALUE!</v>
      </c>
      <c r="DA201" s="1" t="e">
        <f t="shared" si="183"/>
        <v>#VALUE!</v>
      </c>
      <c r="DB201" s="8" t="str">
        <f t="shared" si="156"/>
        <v/>
      </c>
    </row>
    <row r="202" spans="5:106" x14ac:dyDescent="0.15">
      <c r="E202" s="1">
        <v>199</v>
      </c>
      <c r="F202" s="1">
        <f t="shared" si="184"/>
        <v>1</v>
      </c>
      <c r="G202" s="1">
        <f t="shared" ref="G202:G265" si="191">IF(G200+1&gt;MAX($D$4:$D$8),1,G200+1)</f>
        <v>1</v>
      </c>
      <c r="H202" s="1">
        <f t="shared" si="185"/>
        <v>1</v>
      </c>
      <c r="I202" s="1">
        <f t="shared" si="186"/>
        <v>1</v>
      </c>
      <c r="J202" s="1">
        <f t="shared" ref="J202:J265" si="192">IF(J197+1&gt;MAX($D$4:$D$8),1,J197+1)</f>
        <v>1</v>
      </c>
      <c r="L202" s="1" t="str">
        <f>IF(ISERROR(HLOOKUP($C$10,$F$3:$J$253,200,0)),"",HLOOKUP($C$10,$F$3:$J$253,200,0))</f>
        <v/>
      </c>
      <c r="N202" s="67"/>
      <c r="W202" s="71" t="e">
        <f>IF(AA202="","",AA202*10+4)</f>
        <v>#VALUE!</v>
      </c>
      <c r="X202" s="71" t="str">
        <f>IF(OR(COUNTBLANK(AA202)=1,ISERROR(AA202)),"",COUNT(AA4:AA202))</f>
        <v/>
      </c>
      <c r="Y202" s="7" t="e">
        <f t="shared" si="157"/>
        <v>#VALUE!</v>
      </c>
      <c r="Z202" s="1" t="str">
        <f t="shared" si="171"/>
        <v/>
      </c>
      <c r="AA202" s="79" t="e">
        <f>IF(IF(COUNTIF(AA4:AA201,AA201)&gt;=MAX(D4:D8),AA201+1,AA201)&gt;50,"",IF(COUNTIF(AA4:AA201,AA201)&gt;=MAX(D4:D8),AA201+1,AA201))</f>
        <v>#VALUE!</v>
      </c>
      <c r="AB202" s="1" t="e">
        <f>IF(AA202="","",VLOOKUP(AA202,S4:U53,3,0))</f>
        <v>#VALUE!</v>
      </c>
      <c r="AC202" s="8" t="str">
        <f t="shared" si="158"/>
        <v/>
      </c>
      <c r="AE202" s="71" t="e">
        <f t="shared" si="159"/>
        <v>#VALUE!</v>
      </c>
      <c r="AF202" s="71" t="str">
        <f>IF(OR(COUNTBLANK(AI202)=1,ISERROR(AI202)),"",COUNT(AI4:AI202))</f>
        <v/>
      </c>
      <c r="AG202" s="7" t="e">
        <f t="shared" si="160"/>
        <v>#VALUE!</v>
      </c>
      <c r="AH202" s="1" t="str">
        <f>IF(ISERROR(INDEX(C4:C8,MATCH(G202,D4:D8,0))),"",INDEX(C4:C8,MATCH(G202,D4:D8,0)))</f>
        <v/>
      </c>
      <c r="AI202" s="79" t="e">
        <f>IF(IF(COUNTIF(AI4:AI201,AI200)&gt;=MAX(D4:D8),AI200+2,AI200)&gt;50,"",IF(COUNTIF(AI4:AI201,AI200)&gt;=MAX(D4:D8),AI200+2,AI200))</f>
        <v>#VALUE!</v>
      </c>
      <c r="AJ202" s="1" t="e">
        <f>IF(AI202="","",VLOOKUP(AI202,S4:U53,3,0))</f>
        <v>#VALUE!</v>
      </c>
      <c r="AK202" s="8" t="str">
        <f t="shared" si="161"/>
        <v/>
      </c>
      <c r="AM202" s="71" t="e">
        <f t="shared" si="162"/>
        <v>#VALUE!</v>
      </c>
      <c r="AN202" s="71" t="str">
        <f>IF(OR(COUNTBLANK(AQ202)=1,ISERROR(AQ202)),"",COUNT(AQ4:AQ202))</f>
        <v/>
      </c>
      <c r="AO202" s="7" t="e">
        <f t="shared" si="163"/>
        <v>#VALUE!</v>
      </c>
      <c r="AP202" s="1" t="str">
        <f>IF(ISERROR(INDEX(C4:C8,MATCH(H202,D4:D8,0))),"",INDEX(C4:C8,MATCH(H202,D4:D8,0)))</f>
        <v/>
      </c>
      <c r="AQ202" s="79" t="e">
        <f>IF(IF(COUNTIF(AQ4:AQ201,AQ199)&gt;=MAX(D4:D8),AQ199+3,AQ199)&gt;50,"",IF(COUNTIF(AQ4:AQ201,AQ199)&gt;=MAX(D4:D8),AQ199+3,AQ199))</f>
        <v>#VALUE!</v>
      </c>
      <c r="AR202" s="1" t="e">
        <f>IF(AQ202="","",VLOOKUP(AQ202,S4:U53,3,0))</f>
        <v>#VALUE!</v>
      </c>
      <c r="AS202" s="8" t="str">
        <f t="shared" si="164"/>
        <v/>
      </c>
      <c r="AU202" s="71" t="e">
        <f t="shared" si="165"/>
        <v>#VALUE!</v>
      </c>
      <c r="AV202" s="71" t="str">
        <f>IF(OR(COUNTBLANK(AY202)=1,ISERROR(AY202)),"",COUNT(AY4:AY202))</f>
        <v/>
      </c>
      <c r="AW202" s="7" t="e">
        <f t="shared" si="166"/>
        <v>#VALUE!</v>
      </c>
      <c r="AX202" s="1" t="str">
        <f>IF(ISERROR(INDEX(C4:C8,MATCH(I202,D4:D8,0))),"",INDEX(C4:C8,MATCH(I202,D4:D8,0)))</f>
        <v/>
      </c>
      <c r="AY202" s="79" t="e">
        <f>IF(IF(COUNTIF(AY4:AY201,AY198)&gt;=MAX(D4:D8),AY198+4,AY198)&gt;50,"",IF(COUNTIF(AY4:AY201,AY198)&gt;=MAX(D4:D8),AY198+4,AY198))</f>
        <v>#VALUE!</v>
      </c>
      <c r="AZ202" s="76" t="e">
        <f>IF(AY202="","",VLOOKUP(AY202,S4:U53,3,0))</f>
        <v>#VALUE!</v>
      </c>
      <c r="BA202" s="8" t="str">
        <f t="shared" si="167"/>
        <v/>
      </c>
      <c r="BC202" s="71" t="e">
        <f t="shared" si="168"/>
        <v>#VALUE!</v>
      </c>
      <c r="BD202" s="71" t="str">
        <f>IF(OR(COUNTBLANK(BG202)=1,ISERROR(BG202)),"",COUNT(BG4:BG202))</f>
        <v/>
      </c>
      <c r="BE202" s="7" t="e">
        <f t="shared" si="169"/>
        <v>#VALUE!</v>
      </c>
      <c r="BF202" s="1" t="str">
        <f>IF(ISERROR(INDEX(C4:C8,MATCH(J202,D4:D8,0))),"",INDEX(C4:C8,MATCH(J202,D4:D8,0)))</f>
        <v/>
      </c>
      <c r="BG202" s="79" t="e">
        <f>IF(IF(COUNTIF(BG4:BG201,BG197)&gt;=MAX(D4:D8),BG197+5,BG197)&gt;50,"",IF(COUNTIF(BG4:BG201,BG197)&gt;=MAX(D4:D8),BG197+5,BG197))</f>
        <v>#VALUE!</v>
      </c>
      <c r="BH202" s="76" t="e">
        <f>IF(BG202="","",VLOOKUP(BG202,S4:U53,3,0))</f>
        <v>#VALUE!</v>
      </c>
      <c r="BI202" s="8" t="str">
        <f t="shared" si="170"/>
        <v/>
      </c>
      <c r="BP202" s="71" t="e">
        <f>IF(BT202="","",BT202*10+4)</f>
        <v>#VALUE!</v>
      </c>
      <c r="BQ202" s="71" t="str">
        <f>IF(OR(COUNTBLANK(BT202)=1,ISERROR(BT202)),"",COUNT(BT4:BT202))</f>
        <v/>
      </c>
      <c r="BR202" s="7" t="e">
        <f t="shared" si="172"/>
        <v>#VALUE!</v>
      </c>
      <c r="BS202" s="1" t="str">
        <f t="shared" si="173"/>
        <v/>
      </c>
      <c r="BT202" s="79" t="e">
        <f>IF(IF(COUNTIF($BT$4:BT201,BT201)&gt;=MAX($D$4:$D$8),BT201+1,BT201)&gt;55,"",IF(COUNTIF($BT$4:BT201,BT201)&gt;=MAX($D$4:$D$8),BT201+1,BT201))</f>
        <v>#VALUE!</v>
      </c>
      <c r="BU202" s="1" t="e">
        <f t="shared" si="174"/>
        <v>#VALUE!</v>
      </c>
      <c r="BV202" s="8" t="str">
        <f t="shared" si="175"/>
        <v/>
      </c>
      <c r="BX202" s="71" t="e">
        <f t="shared" si="176"/>
        <v>#VALUE!</v>
      </c>
      <c r="BY202" s="71" t="str">
        <f>IF(OR(COUNTBLANK(CB202)=1,ISERROR(CB202)),"",COUNT($CB$4:CB202))</f>
        <v/>
      </c>
      <c r="BZ202" s="7" t="e">
        <f t="shared" si="177"/>
        <v>#VALUE!</v>
      </c>
      <c r="CA202" s="1" t="str">
        <f t="shared" si="178"/>
        <v/>
      </c>
      <c r="CB202" s="79" t="e">
        <f>IF(IF(COUNTIF($CB$4:CB201,CB200)&gt;=MAX($D$4:$D$8),CB200+2,CB200)&gt;55,"",IF(COUNTIF($CB$4:CB201,CB200)&gt;=MAX($D$4:$D$8),CB200+2,CB200))</f>
        <v>#VALUE!</v>
      </c>
      <c r="CC202" s="1" t="e">
        <f t="shared" si="179"/>
        <v>#VALUE!</v>
      </c>
      <c r="CD202" s="8" t="str">
        <f t="shared" si="180"/>
        <v/>
      </c>
      <c r="CF202" s="71" t="e">
        <f t="shared" si="149"/>
        <v>#VALUE!</v>
      </c>
      <c r="CG202" s="71" t="str">
        <f>IF(OR(COUNTBLANK(CJ202)=1,ISERROR(CJ202)),"",COUNT($CJ$4:CJ202))</f>
        <v/>
      </c>
      <c r="CH202" s="7" t="e">
        <f t="shared" si="150"/>
        <v>#VALUE!</v>
      </c>
      <c r="CI202" s="1" t="str">
        <f t="shared" si="151"/>
        <v/>
      </c>
      <c r="CJ202" s="79" t="e">
        <f>IF(IF(COUNTIF($CJ$4:CJ201,CJ199)&gt;=MAX($D$4:$D$8),CJ199+3,CJ199)&gt;55,"",IF(COUNTIF($CJ$4:CJ201,CJ199)&gt;=MAX($D$4:$D$8),CJ199+3,CJ199))</f>
        <v>#VALUE!</v>
      </c>
      <c r="CK202" s="1" t="e">
        <f t="shared" si="181"/>
        <v>#VALUE!</v>
      </c>
      <c r="CL202" s="8" t="str">
        <f t="shared" si="152"/>
        <v/>
      </c>
      <c r="CN202" s="71" t="e">
        <f t="shared" si="187"/>
        <v>#VALUE!</v>
      </c>
      <c r="CO202" s="71" t="str">
        <f>IF(OR(COUNTBLANK(CR202)=1,ISERROR(CR202)),"",COUNT($CR$4:CR202))</f>
        <v/>
      </c>
      <c r="CP202" s="7" t="e">
        <f t="shared" si="188"/>
        <v>#VALUE!</v>
      </c>
      <c r="CQ202" s="1" t="str">
        <f t="shared" si="189"/>
        <v/>
      </c>
      <c r="CR202" s="79" t="e">
        <f>IF(IF(COUNTIF($CR$4:CR201,CR198)&gt;=MAX($D$4:$D$8),CR198+4,CR198)&gt;55,"",IF(COUNTIF($CR$4:CR201,CR198)&gt;=MAX($D$4:$D$8),CR198+4,CR198))</f>
        <v>#VALUE!</v>
      </c>
      <c r="CS202" s="1" t="e">
        <f t="shared" si="182"/>
        <v>#VALUE!</v>
      </c>
      <c r="CT202" s="8" t="str">
        <f t="shared" si="190"/>
        <v/>
      </c>
      <c r="CV202" s="71" t="e">
        <f t="shared" si="153"/>
        <v>#VALUE!</v>
      </c>
      <c r="CW202" s="71" t="str">
        <f>IF(OR(COUNTBLANK(CZ202)=1,ISERROR(CZ202)),"",COUNT($CZ$4:CZ202))</f>
        <v/>
      </c>
      <c r="CX202" s="7" t="e">
        <f t="shared" si="154"/>
        <v>#VALUE!</v>
      </c>
      <c r="CY202" s="1" t="str">
        <f t="shared" si="155"/>
        <v/>
      </c>
      <c r="CZ202" s="79" t="e">
        <f>IF(IF(COUNTIF($CZ$4:CZ201,CZ197)&gt;=MAX($D$4:$D$8),CZ197+5,CZ197)&gt;55,"",IF(COUNTIF($CZ$4:CZ201,CZ197)&gt;=MAX($D$4:$D$8),CZ197+5,CZ197))</f>
        <v>#VALUE!</v>
      </c>
      <c r="DA202" s="1" t="e">
        <f t="shared" si="183"/>
        <v>#VALUE!</v>
      </c>
      <c r="DB202" s="8" t="str">
        <f t="shared" si="156"/>
        <v/>
      </c>
    </row>
    <row r="203" spans="5:106" x14ac:dyDescent="0.15">
      <c r="E203" s="1">
        <v>200</v>
      </c>
      <c r="F203" s="1">
        <f t="shared" si="184"/>
        <v>1</v>
      </c>
      <c r="G203" s="1">
        <f t="shared" si="191"/>
        <v>1</v>
      </c>
      <c r="H203" s="1">
        <f t="shared" si="185"/>
        <v>1</v>
      </c>
      <c r="I203" s="1">
        <f t="shared" si="186"/>
        <v>1</v>
      </c>
      <c r="J203" s="1">
        <f t="shared" si="192"/>
        <v>1</v>
      </c>
      <c r="L203" s="1" t="str">
        <f>IF(ISERROR(HLOOKUP($C$10,$F$3:$J$253,201,0)),"",HLOOKUP($C$10,$F$3:$J$253,201,0))</f>
        <v/>
      </c>
      <c r="N203" s="67"/>
      <c r="W203" s="71" t="e">
        <f>IF(AA203="","",AA203*10+5)</f>
        <v>#VALUE!</v>
      </c>
      <c r="X203" s="71" t="str">
        <f>IF(OR(COUNTBLANK(AA203)=1,ISERROR(AA203)),"",COUNT(AA4:AA203))</f>
        <v/>
      </c>
      <c r="Y203" s="7" t="e">
        <f t="shared" si="157"/>
        <v>#VALUE!</v>
      </c>
      <c r="Z203" s="1" t="str">
        <f t="shared" si="171"/>
        <v/>
      </c>
      <c r="AA203" s="79" t="e">
        <f>IF(IF(COUNTIF(AA4:AA202,AA202)&gt;=MAX(D4:D8),AA202+1,AA202)&gt;50,"",IF(COUNTIF(AA4:AA202,AA202)&gt;=MAX(D4:D8),AA202+1,AA202))</f>
        <v>#VALUE!</v>
      </c>
      <c r="AB203" s="1" t="e">
        <f>IF(AA203="","",VLOOKUP(AA203,S4:U53,3,0))</f>
        <v>#VALUE!</v>
      </c>
      <c r="AC203" s="8" t="str">
        <f t="shared" si="158"/>
        <v/>
      </c>
      <c r="AE203" s="71" t="e">
        <f t="shared" si="159"/>
        <v>#VALUE!</v>
      </c>
      <c r="AF203" s="71" t="str">
        <f>IF(OR(COUNTBLANK(AI203)=1,ISERROR(AI203)),"",COUNT(AI4:AI203))</f>
        <v/>
      </c>
      <c r="AG203" s="7" t="e">
        <f t="shared" si="160"/>
        <v>#VALUE!</v>
      </c>
      <c r="AH203" s="1" t="str">
        <f>IF(ISERROR(INDEX(C4:C8,MATCH(G203,D4:D8,0))),"",INDEX(C4:C8,MATCH(G203,D4:D8,0)))</f>
        <v/>
      </c>
      <c r="AI203" s="79" t="e">
        <f>IF(IF(COUNTIF(AI4:AI201,AI201)&gt;=MAX(D4:D8),AI201+2,AI201)&gt;50,"",IF(COUNTIF(AI4:AI201,AI201)&gt;=MAX(D4:D8),AI201+2,AI201))</f>
        <v>#VALUE!</v>
      </c>
      <c r="AJ203" s="1" t="e">
        <f>IF(AI203="","",VLOOKUP(AI203,S4:U53,3,0))</f>
        <v>#VALUE!</v>
      </c>
      <c r="AK203" s="8" t="str">
        <f t="shared" si="161"/>
        <v/>
      </c>
      <c r="AM203" s="71" t="e">
        <f t="shared" si="162"/>
        <v>#VALUE!</v>
      </c>
      <c r="AN203" s="71" t="str">
        <f>IF(OR(COUNTBLANK(AQ203)=1,ISERROR(AQ203)),"",COUNT(AQ4:AQ203))</f>
        <v/>
      </c>
      <c r="AO203" s="7" t="e">
        <f t="shared" si="163"/>
        <v>#VALUE!</v>
      </c>
      <c r="AP203" s="1" t="str">
        <f>IF(ISERROR(INDEX(C4:C8,MATCH(H203,D4:D8,0))),"",INDEX(C4:C8,MATCH(H203,D4:D8,0)))</f>
        <v/>
      </c>
      <c r="AQ203" s="79" t="e">
        <f>IF(IF(COUNTIF(AQ4:AQ202,AQ200)&gt;=MAX(D4:D8),AQ200+3,AQ200)&gt;50,"",IF(COUNTIF(AQ4:AQ202,AQ200)&gt;=MAX(D4:D8),AQ200+3,AQ200))</f>
        <v>#VALUE!</v>
      </c>
      <c r="AR203" s="1" t="e">
        <f>IF(AQ203="","",VLOOKUP(AQ203,S4:U53,3,0))</f>
        <v>#VALUE!</v>
      </c>
      <c r="AS203" s="8" t="str">
        <f t="shared" si="164"/>
        <v/>
      </c>
      <c r="AU203" s="71" t="e">
        <f t="shared" si="165"/>
        <v>#VALUE!</v>
      </c>
      <c r="AV203" s="71" t="str">
        <f>IF(OR(COUNTBLANK(AY203)=1,ISERROR(AY203)),"",COUNT(AY4:AY203))</f>
        <v/>
      </c>
      <c r="AW203" s="7" t="e">
        <f t="shared" si="166"/>
        <v>#VALUE!</v>
      </c>
      <c r="AX203" s="1" t="str">
        <f>IF(ISERROR(INDEX(C4:C8,MATCH(I203,D4:D8,0))),"",INDEX(C4:C8,MATCH(I203,D4:D8,0)))</f>
        <v/>
      </c>
      <c r="AY203" s="79" t="e">
        <f>IF(IF(COUNTIF(AY4:AY202,AY199)&gt;=MAX(D4:D8),AY199+4,AY199)&gt;50,"",IF(COUNTIF(AY4:AY202,AY199)&gt;=MAX(D4:D8),AY199+4,AY199))</f>
        <v>#VALUE!</v>
      </c>
      <c r="AZ203" s="76" t="e">
        <f>IF(AY203="","",VLOOKUP(AY203,S4:U53,3,0))</f>
        <v>#VALUE!</v>
      </c>
      <c r="BA203" s="8" t="str">
        <f t="shared" si="167"/>
        <v/>
      </c>
      <c r="BC203" s="71" t="e">
        <f t="shared" si="168"/>
        <v>#VALUE!</v>
      </c>
      <c r="BD203" s="71" t="str">
        <f>IF(OR(COUNTBLANK(BG203)=1,ISERROR(BG203)),"",COUNT(BG4:BG203))</f>
        <v/>
      </c>
      <c r="BE203" s="7" t="e">
        <f t="shared" si="169"/>
        <v>#VALUE!</v>
      </c>
      <c r="BF203" s="1" t="str">
        <f>IF(ISERROR(INDEX(C4:C8,MATCH(J203,D4:D8,0))),"",INDEX(C4:C8,MATCH(J203,D4:D8,0)))</f>
        <v/>
      </c>
      <c r="BG203" s="79" t="e">
        <f>IF(IF(COUNTIF(BG4:BG202,BG198)&gt;=MAX(D4:D8),BG198+5,BG198)&gt;50,"",IF(COUNTIF(BG4:BG202,BG198)&gt;=MAX(D4:D8),BG198+5,BG198))</f>
        <v>#VALUE!</v>
      </c>
      <c r="BH203" s="76" t="e">
        <f>IF(BG203="","",VLOOKUP(BG203,S4:U53,3,0))</f>
        <v>#VALUE!</v>
      </c>
      <c r="BI203" s="8" t="str">
        <f t="shared" si="170"/>
        <v/>
      </c>
      <c r="BP203" s="71" t="e">
        <f>IF(BT203="","",BT203*10+5)</f>
        <v>#VALUE!</v>
      </c>
      <c r="BQ203" s="71" t="str">
        <f>IF(OR(COUNTBLANK(BT203)=1,ISERROR(BT203)),"",COUNT(BT4:BT203))</f>
        <v/>
      </c>
      <c r="BR203" s="7" t="e">
        <f t="shared" si="172"/>
        <v>#VALUE!</v>
      </c>
      <c r="BS203" s="1" t="str">
        <f t="shared" si="173"/>
        <v/>
      </c>
      <c r="BT203" s="79" t="e">
        <f>IF(IF(COUNTIF($BT$4:BT202,BT202)&gt;=MAX($D$4:$D$8),BT202+1,BT202)&gt;55,"",IF(COUNTIF($BT$4:BT202,BT202)&gt;=MAX($D$4:$D$8),BT202+1,BT202))</f>
        <v>#VALUE!</v>
      </c>
      <c r="BU203" s="1" t="e">
        <f t="shared" si="174"/>
        <v>#VALUE!</v>
      </c>
      <c r="BV203" s="8" t="str">
        <f t="shared" si="175"/>
        <v/>
      </c>
      <c r="BX203" s="71" t="e">
        <f t="shared" si="176"/>
        <v>#VALUE!</v>
      </c>
      <c r="BY203" s="71" t="str">
        <f>IF(OR(COUNTBLANK(CB203)=1,ISERROR(CB203)),"",COUNT($CB$4:CB203))</f>
        <v/>
      </c>
      <c r="BZ203" s="7" t="e">
        <f t="shared" si="177"/>
        <v>#VALUE!</v>
      </c>
      <c r="CA203" s="1" t="str">
        <f t="shared" si="178"/>
        <v/>
      </c>
      <c r="CB203" s="79" t="e">
        <f>IF(IF(COUNTIF($CB$4:CB202,CB201)&gt;=MAX($D$4:$D$8),CB201+2,CB201)&gt;55,"",IF(COUNTIF($CB$4:CB202,CB201)&gt;=MAX($D$4:$D$8),CB201+2,CB201))</f>
        <v>#VALUE!</v>
      </c>
      <c r="CC203" s="1" t="e">
        <f t="shared" si="179"/>
        <v>#VALUE!</v>
      </c>
      <c r="CD203" s="8" t="str">
        <f t="shared" si="180"/>
        <v/>
      </c>
      <c r="CF203" s="71" t="e">
        <f t="shared" si="149"/>
        <v>#VALUE!</v>
      </c>
      <c r="CG203" s="71" t="str">
        <f>IF(OR(COUNTBLANK(CJ203)=1,ISERROR(CJ203)),"",COUNT($CJ$4:CJ203))</f>
        <v/>
      </c>
      <c r="CH203" s="7" t="e">
        <f t="shared" si="150"/>
        <v>#VALUE!</v>
      </c>
      <c r="CI203" s="1" t="str">
        <f t="shared" si="151"/>
        <v/>
      </c>
      <c r="CJ203" s="79" t="e">
        <f>IF(IF(COUNTIF($CJ$4:CJ202,CJ200)&gt;=MAX($D$4:$D$8),CJ200+3,CJ200)&gt;55,"",IF(COUNTIF($CJ$4:CJ202,CJ200)&gt;=MAX($D$4:$D$8),CJ200+3,CJ200))</f>
        <v>#VALUE!</v>
      </c>
      <c r="CK203" s="1" t="e">
        <f t="shared" si="181"/>
        <v>#VALUE!</v>
      </c>
      <c r="CL203" s="8" t="str">
        <f t="shared" si="152"/>
        <v/>
      </c>
      <c r="CN203" s="71" t="e">
        <f t="shared" si="187"/>
        <v>#VALUE!</v>
      </c>
      <c r="CO203" s="71" t="str">
        <f>IF(OR(COUNTBLANK(CR203)=1,ISERROR(CR203)),"",COUNT($CR$4:CR203))</f>
        <v/>
      </c>
      <c r="CP203" s="7" t="e">
        <f t="shared" si="188"/>
        <v>#VALUE!</v>
      </c>
      <c r="CQ203" s="1" t="str">
        <f t="shared" si="189"/>
        <v/>
      </c>
      <c r="CR203" s="79" t="e">
        <f>IF(IF(COUNTIF($CR$4:CR202,CR199)&gt;=MAX($D$4:$D$8),CR199+4,CR199)&gt;55,"",IF(COUNTIF($CR$4:CR202,CR199)&gt;=MAX($D$4:$D$8),CR199+4,CR199))</f>
        <v>#VALUE!</v>
      </c>
      <c r="CS203" s="1" t="e">
        <f t="shared" si="182"/>
        <v>#VALUE!</v>
      </c>
      <c r="CT203" s="8" t="str">
        <f t="shared" si="190"/>
        <v/>
      </c>
      <c r="CV203" s="71" t="e">
        <f t="shared" si="153"/>
        <v>#VALUE!</v>
      </c>
      <c r="CW203" s="71" t="str">
        <f>IF(OR(COUNTBLANK(CZ203)=1,ISERROR(CZ203)),"",COUNT($CZ$4:CZ203))</f>
        <v/>
      </c>
      <c r="CX203" s="7" t="e">
        <f t="shared" si="154"/>
        <v>#VALUE!</v>
      </c>
      <c r="CY203" s="1" t="str">
        <f t="shared" si="155"/>
        <v/>
      </c>
      <c r="CZ203" s="79" t="e">
        <f>IF(IF(COUNTIF($CZ$4:CZ202,CZ198)&gt;=MAX($D$4:$D$8),CZ198+5,CZ198)&gt;55,"",IF(COUNTIF($CZ$4:CZ202,CZ198)&gt;=MAX($D$4:$D$8),CZ198+5,CZ198))</f>
        <v>#VALUE!</v>
      </c>
      <c r="DA203" s="1" t="e">
        <f t="shared" si="183"/>
        <v>#VALUE!</v>
      </c>
      <c r="DB203" s="8" t="str">
        <f t="shared" si="156"/>
        <v/>
      </c>
    </row>
    <row r="204" spans="5:106" x14ac:dyDescent="0.15">
      <c r="E204" s="1">
        <v>201</v>
      </c>
      <c r="F204" s="1">
        <f t="shared" si="184"/>
        <v>1</v>
      </c>
      <c r="G204" s="1">
        <f t="shared" si="191"/>
        <v>1</v>
      </c>
      <c r="H204" s="1">
        <f t="shared" si="185"/>
        <v>1</v>
      </c>
      <c r="I204" s="1">
        <f t="shared" si="186"/>
        <v>1</v>
      </c>
      <c r="J204" s="1">
        <f t="shared" si="192"/>
        <v>1</v>
      </c>
      <c r="L204" s="1" t="str">
        <f>IF(ISERROR(HLOOKUP($C$10,$F$3:$J$253,202,0)),"",HLOOKUP($C$10,$F$3:$J$253,202,0))</f>
        <v/>
      </c>
      <c r="N204" s="67"/>
      <c r="W204" s="71" t="e">
        <f>IF(AA204="","",AA204*10+1)</f>
        <v>#VALUE!</v>
      </c>
      <c r="X204" s="71" t="str">
        <f>IF(OR(COUNTBLANK(AA204)=1,ISERROR(AA204)),"",COUNT(AA4:AA204))</f>
        <v/>
      </c>
      <c r="Y204" s="7" t="e">
        <f t="shared" si="157"/>
        <v>#VALUE!</v>
      </c>
      <c r="Z204" s="1" t="str">
        <f t="shared" si="171"/>
        <v/>
      </c>
      <c r="AA204" s="79" t="e">
        <f>IF(IF(COUNTIF(AA4:AA203,AA203)&gt;=MAX(D4:D8),AA203+1,AA203)&gt;50,"",IF(COUNTIF(AA4:AA203,AA203)&gt;=MAX(D4:D8),AA203+1,AA203))</f>
        <v>#VALUE!</v>
      </c>
      <c r="AB204" s="1" t="e">
        <f>IF(AA204="","",VLOOKUP(AA204,S4:U53,3,0))</f>
        <v>#VALUE!</v>
      </c>
      <c r="AC204" s="8" t="str">
        <f t="shared" si="158"/>
        <v/>
      </c>
      <c r="AE204" s="71" t="e">
        <f t="shared" si="159"/>
        <v>#VALUE!</v>
      </c>
      <c r="AF204" s="71" t="str">
        <f>IF(OR(COUNTBLANK(AI204)=1,ISERROR(AI204)),"",COUNT(AI4:AI204))</f>
        <v/>
      </c>
      <c r="AG204" s="7" t="e">
        <f t="shared" si="160"/>
        <v>#VALUE!</v>
      </c>
      <c r="AH204" s="1" t="str">
        <f>IF(ISERROR(INDEX(C4:C8,MATCH(G204,D4:D8,0))),"",INDEX(C4:C8,MATCH(G204,D4:D8,0)))</f>
        <v/>
      </c>
      <c r="AI204" s="79" t="e">
        <f>IF(IF(COUNTIF(AI4:AI203,AI202)&gt;=MAX(D4:D8),AI202+2,AI202)&gt;50,"",IF(COUNTIF(AI4:AI203,AI202)&gt;=MAX(D4:D8),AI202+2,AI202))</f>
        <v>#VALUE!</v>
      </c>
      <c r="AJ204" s="1" t="e">
        <f>IF(AI204="","",VLOOKUP(AI204,S4:U53,3,0))</f>
        <v>#VALUE!</v>
      </c>
      <c r="AK204" s="8" t="str">
        <f t="shared" si="161"/>
        <v/>
      </c>
      <c r="AM204" s="71" t="e">
        <f t="shared" si="162"/>
        <v>#VALUE!</v>
      </c>
      <c r="AN204" s="71" t="str">
        <f>IF(OR(COUNTBLANK(AQ204)=1,ISERROR(AQ204)),"",COUNT(AQ4:AQ204))</f>
        <v/>
      </c>
      <c r="AO204" s="7" t="e">
        <f t="shared" si="163"/>
        <v>#VALUE!</v>
      </c>
      <c r="AP204" s="1" t="str">
        <f>IF(ISERROR(INDEX(C4:C8,MATCH(H204,D4:D8,0))),"",INDEX(C4:C8,MATCH(H204,D4:D8,0)))</f>
        <v/>
      </c>
      <c r="AQ204" s="79" t="e">
        <f>IF(IF(COUNTIF(AQ4:AQ203,AQ201)&gt;=MAX(D4:D8),AQ201+3,AQ201)&gt;50,"",IF(COUNTIF(AQ4:AQ203,AQ201)&gt;=MAX(D4:D8),AQ201+3,AQ201))</f>
        <v>#VALUE!</v>
      </c>
      <c r="AR204" s="1" t="e">
        <f>IF(AQ204="","",VLOOKUP(AQ204,S4:U53,3,0))</f>
        <v>#VALUE!</v>
      </c>
      <c r="AS204" s="8" t="str">
        <f t="shared" si="164"/>
        <v/>
      </c>
      <c r="AU204" s="71" t="e">
        <f t="shared" si="165"/>
        <v>#VALUE!</v>
      </c>
      <c r="AV204" s="71" t="str">
        <f>IF(OR(COUNTBLANK(AY204)=1,ISERROR(AY204)),"",COUNT(AY4:AY204))</f>
        <v/>
      </c>
      <c r="AW204" s="7" t="e">
        <f t="shared" si="166"/>
        <v>#VALUE!</v>
      </c>
      <c r="AX204" s="1" t="str">
        <f>IF(ISERROR(INDEX(C4:C8,MATCH(I204,D4:D8,0))),"",INDEX(C4:C8,MATCH(I204,D4:D8,0)))</f>
        <v/>
      </c>
      <c r="AY204" s="79" t="e">
        <f>IF(IF(COUNTIF(AY4:AY203,AY200)&gt;=MAX(D4:D8),AY200+4,AY200)&gt;50,"",IF(COUNTIF(AY4:AY203,AY200)&gt;=MAX(D4:D8),AY200+4,AY200))</f>
        <v>#VALUE!</v>
      </c>
      <c r="AZ204" s="76" t="e">
        <f>IF(AY204="","",VLOOKUP(AY204,S4:U53,3,0))</f>
        <v>#VALUE!</v>
      </c>
      <c r="BA204" s="8" t="str">
        <f t="shared" si="167"/>
        <v/>
      </c>
      <c r="BC204" s="71" t="e">
        <f t="shared" si="168"/>
        <v>#VALUE!</v>
      </c>
      <c r="BD204" s="71" t="str">
        <f>IF(OR(COUNTBLANK(BG204)=1,ISERROR(BG204)),"",COUNT(BG4:BG204))</f>
        <v/>
      </c>
      <c r="BE204" s="7" t="e">
        <f t="shared" si="169"/>
        <v>#VALUE!</v>
      </c>
      <c r="BF204" s="1" t="str">
        <f>IF(ISERROR(INDEX(C4:C8,MATCH(J204,D4:D8,0))),"",INDEX(C4:C8,MATCH(J204,D4:D8,0)))</f>
        <v/>
      </c>
      <c r="BG204" s="79" t="e">
        <f>IF(IF(COUNTIF(BG4:BG203,BG199)&gt;=MAX(D4:D8),BG199+5,BG199)&gt;50,"",IF(COUNTIF(BG4:BG203,BG199)&gt;=MAX(D4:D8),BG199+5,BG199))</f>
        <v>#VALUE!</v>
      </c>
      <c r="BH204" s="76" t="e">
        <f>IF(BG204="","",VLOOKUP(BG204,S4:U53,3,0))</f>
        <v>#VALUE!</v>
      </c>
      <c r="BI204" s="8" t="str">
        <f t="shared" si="170"/>
        <v/>
      </c>
      <c r="BP204" s="71" t="e">
        <f>IF(BT204="","",BT204*10+1)</f>
        <v>#VALUE!</v>
      </c>
      <c r="BQ204" s="71" t="str">
        <f>IF(OR(COUNTBLANK(BT204)=1,ISERROR(BT204)),"",COUNT(BT4:BT204))</f>
        <v/>
      </c>
      <c r="BR204" s="7" t="e">
        <f t="shared" si="172"/>
        <v>#VALUE!</v>
      </c>
      <c r="BS204" s="1" t="str">
        <f t="shared" si="173"/>
        <v/>
      </c>
      <c r="BT204" s="79" t="e">
        <f>IF(IF(COUNTIF($BT$4:BT203,BT203)&gt;=MAX($D$4:$D$8),BT203+1,BT203)&gt;55,"",IF(COUNTIF($BT$4:BT203,BT203)&gt;=MAX($D$4:$D$8),BT203+1,BT203))</f>
        <v>#VALUE!</v>
      </c>
      <c r="BU204" s="1" t="e">
        <f t="shared" si="174"/>
        <v>#VALUE!</v>
      </c>
      <c r="BV204" s="8" t="str">
        <f t="shared" si="175"/>
        <v/>
      </c>
      <c r="BX204" s="71" t="e">
        <f t="shared" si="176"/>
        <v>#VALUE!</v>
      </c>
      <c r="BY204" s="71" t="str">
        <f>IF(OR(COUNTBLANK(CB204)=1,ISERROR(CB204)),"",COUNT($CB$4:CB204))</f>
        <v/>
      </c>
      <c r="BZ204" s="7" t="e">
        <f t="shared" si="177"/>
        <v>#VALUE!</v>
      </c>
      <c r="CA204" s="1" t="str">
        <f t="shared" si="178"/>
        <v/>
      </c>
      <c r="CB204" s="79" t="e">
        <f>IF(IF(COUNTIF($CB$4:CB203,CB202)&gt;=MAX($D$4:$D$8),CB202+2,CB202)&gt;55,"",IF(COUNTIF($CB$4:CB203,CB202)&gt;=MAX($D$4:$D$8),CB202+2,CB202))</f>
        <v>#VALUE!</v>
      </c>
      <c r="CC204" s="1" t="e">
        <f t="shared" si="179"/>
        <v>#VALUE!</v>
      </c>
      <c r="CD204" s="8" t="str">
        <f t="shared" si="180"/>
        <v/>
      </c>
      <c r="CF204" s="71" t="e">
        <f t="shared" si="149"/>
        <v>#VALUE!</v>
      </c>
      <c r="CG204" s="71" t="str">
        <f>IF(OR(COUNTBLANK(CJ204)=1,ISERROR(CJ204)),"",COUNT($CJ$4:CJ204))</f>
        <v/>
      </c>
      <c r="CH204" s="7" t="e">
        <f t="shared" si="150"/>
        <v>#VALUE!</v>
      </c>
      <c r="CI204" s="1" t="str">
        <f t="shared" si="151"/>
        <v/>
      </c>
      <c r="CJ204" s="79" t="e">
        <f>IF(IF(COUNTIF($CJ$4:CJ203,CJ201)&gt;=MAX($D$4:$D$8),CJ201+3,CJ201)&gt;55,"",IF(COUNTIF($CJ$4:CJ203,CJ201)&gt;=MAX($D$4:$D$8),CJ201+3,CJ201))</f>
        <v>#VALUE!</v>
      </c>
      <c r="CK204" s="1" t="e">
        <f t="shared" si="181"/>
        <v>#VALUE!</v>
      </c>
      <c r="CL204" s="8" t="str">
        <f t="shared" si="152"/>
        <v/>
      </c>
      <c r="CN204" s="71" t="e">
        <f t="shared" si="187"/>
        <v>#VALUE!</v>
      </c>
      <c r="CO204" s="71" t="str">
        <f>IF(OR(COUNTBLANK(CR204)=1,ISERROR(CR204)),"",COUNT($CR$4:CR204))</f>
        <v/>
      </c>
      <c r="CP204" s="7" t="e">
        <f t="shared" si="188"/>
        <v>#VALUE!</v>
      </c>
      <c r="CQ204" s="1" t="str">
        <f t="shared" si="189"/>
        <v/>
      </c>
      <c r="CR204" s="79" t="e">
        <f>IF(IF(COUNTIF($CR$4:CR203,CR200)&gt;=MAX($D$4:$D$8),CR200+4,CR200)&gt;55,"",IF(COUNTIF($CR$4:CR203,CR200)&gt;=MAX($D$4:$D$8),CR200+4,CR200))</f>
        <v>#VALUE!</v>
      </c>
      <c r="CS204" s="1" t="e">
        <f t="shared" si="182"/>
        <v>#VALUE!</v>
      </c>
      <c r="CT204" s="8" t="str">
        <f t="shared" si="190"/>
        <v/>
      </c>
      <c r="CV204" s="71" t="e">
        <f t="shared" si="153"/>
        <v>#VALUE!</v>
      </c>
      <c r="CW204" s="71" t="str">
        <f>IF(OR(COUNTBLANK(CZ204)=1,ISERROR(CZ204)),"",COUNT($CZ$4:CZ204))</f>
        <v/>
      </c>
      <c r="CX204" s="7" t="e">
        <f t="shared" si="154"/>
        <v>#VALUE!</v>
      </c>
      <c r="CY204" s="1" t="str">
        <f t="shared" si="155"/>
        <v/>
      </c>
      <c r="CZ204" s="79" t="e">
        <f>IF(IF(COUNTIF($CZ$4:CZ203,CZ199)&gt;=MAX($D$4:$D$8),CZ199+5,CZ199)&gt;55,"",IF(COUNTIF($CZ$4:CZ203,CZ199)&gt;=MAX($D$4:$D$8),CZ199+5,CZ199))</f>
        <v>#VALUE!</v>
      </c>
      <c r="DA204" s="1" t="e">
        <f t="shared" si="183"/>
        <v>#VALUE!</v>
      </c>
      <c r="DB204" s="8" t="str">
        <f t="shared" si="156"/>
        <v/>
      </c>
    </row>
    <row r="205" spans="5:106" x14ac:dyDescent="0.15">
      <c r="E205" s="1">
        <v>202</v>
      </c>
      <c r="F205" s="1">
        <f t="shared" si="184"/>
        <v>1</v>
      </c>
      <c r="G205" s="1">
        <f t="shared" si="191"/>
        <v>1</v>
      </c>
      <c r="H205" s="1">
        <f t="shared" si="185"/>
        <v>1</v>
      </c>
      <c r="I205" s="1">
        <f t="shared" si="186"/>
        <v>1</v>
      </c>
      <c r="J205" s="1">
        <f t="shared" si="192"/>
        <v>1</v>
      </c>
      <c r="L205" s="1" t="str">
        <f>IF(ISERROR(HLOOKUP($C$10,$F$3:$J$253,203,0)),"",HLOOKUP($C$10,$F$3:$J$253,203,0))</f>
        <v/>
      </c>
      <c r="N205" s="67"/>
      <c r="W205" s="71" t="e">
        <f>IF(AA205="","",AA205*10+2)</f>
        <v>#VALUE!</v>
      </c>
      <c r="X205" s="71" t="str">
        <f>IF(OR(COUNTBLANK(AA205)=1,ISERROR(AA205)),"",COUNT(AA4:AA205))</f>
        <v/>
      </c>
      <c r="Y205" s="7" t="e">
        <f t="shared" si="157"/>
        <v>#VALUE!</v>
      </c>
      <c r="Z205" s="1" t="str">
        <f t="shared" si="171"/>
        <v/>
      </c>
      <c r="AA205" s="79" t="e">
        <f>IF(IF(COUNTIF(AA4:AA204,AA204)&gt;=MAX(D4:D8),AA204+1,AA204)&gt;50,"",IF(COUNTIF(AA4:AA204,AA204)&gt;=MAX(D4:D8),AA204+1,AA204))</f>
        <v>#VALUE!</v>
      </c>
      <c r="AB205" s="1" t="e">
        <f>IF(AA205="","",VLOOKUP(AA205,S4:U53,3,0))</f>
        <v>#VALUE!</v>
      </c>
      <c r="AC205" s="8" t="str">
        <f t="shared" si="158"/>
        <v/>
      </c>
      <c r="AE205" s="71" t="e">
        <f t="shared" si="159"/>
        <v>#VALUE!</v>
      </c>
      <c r="AF205" s="71" t="str">
        <f>IF(OR(COUNTBLANK(AI205)=1,ISERROR(AI205)),"",COUNT(AI4:AI205))</f>
        <v/>
      </c>
      <c r="AG205" s="7" t="e">
        <f t="shared" si="160"/>
        <v>#VALUE!</v>
      </c>
      <c r="AH205" s="1" t="str">
        <f>IF(ISERROR(INDEX(C4:C8,MATCH(G205,D4:D8,0))),"",INDEX(C4:C8,MATCH(G205,D4:D8,0)))</f>
        <v/>
      </c>
      <c r="AI205" s="79" t="e">
        <f>IF(IF(COUNTIF(AI4:AI203,AI203)&gt;=MAX(D4:D8),AI203+2,AI203)&gt;50,"",IF(COUNTIF(AI4:AI203,AI203)&gt;=MAX(D4:D8),AI203+2,AI203))</f>
        <v>#VALUE!</v>
      </c>
      <c r="AJ205" s="1" t="e">
        <f>IF(AI205="","",VLOOKUP(AI205,S4:U53,3,0))</f>
        <v>#VALUE!</v>
      </c>
      <c r="AK205" s="8" t="str">
        <f t="shared" si="161"/>
        <v/>
      </c>
      <c r="AM205" s="71" t="e">
        <f t="shared" si="162"/>
        <v>#VALUE!</v>
      </c>
      <c r="AN205" s="71" t="str">
        <f>IF(OR(COUNTBLANK(AQ205)=1,ISERROR(AQ205)),"",COUNT(AQ4:AQ205))</f>
        <v/>
      </c>
      <c r="AO205" s="7" t="e">
        <f t="shared" si="163"/>
        <v>#VALUE!</v>
      </c>
      <c r="AP205" s="1" t="str">
        <f>IF(ISERROR(INDEX(C4:C8,MATCH(H205,D4:D8,0))),"",INDEX(C4:C8,MATCH(H205,D4:D8,0)))</f>
        <v/>
      </c>
      <c r="AQ205" s="79" t="e">
        <f>IF(IF(COUNTIF(AQ4:AQ204,AQ202)&gt;=MAX(D4:D8),AQ202+3,AQ202)&gt;50,"",IF(COUNTIF(AQ4:AQ204,AQ202)&gt;=MAX(D4:D8),AQ202+3,AQ202))</f>
        <v>#VALUE!</v>
      </c>
      <c r="AR205" s="1" t="e">
        <f>IF(AQ205="","",VLOOKUP(AQ205,S4:U53,3,0))</f>
        <v>#VALUE!</v>
      </c>
      <c r="AS205" s="8" t="str">
        <f t="shared" si="164"/>
        <v/>
      </c>
      <c r="AU205" s="71" t="e">
        <f t="shared" si="165"/>
        <v>#VALUE!</v>
      </c>
      <c r="AV205" s="71" t="str">
        <f>IF(OR(COUNTBLANK(AY205)=1,ISERROR(AY205)),"",COUNT(AY4:AY205))</f>
        <v/>
      </c>
      <c r="AW205" s="7" t="e">
        <f t="shared" si="166"/>
        <v>#VALUE!</v>
      </c>
      <c r="AX205" s="1" t="str">
        <f>IF(ISERROR(INDEX(C4:C8,MATCH(I205,D4:D8,0))),"",INDEX(C4:C8,MATCH(I205,D4:D8,0)))</f>
        <v/>
      </c>
      <c r="AY205" s="79" t="e">
        <f>IF(IF(COUNTIF(AY4:AY204,AY201)&gt;=MAX(D4:D8),AY201+4,AY201)&gt;50,"",IF(COUNTIF(AY4:AY204,AY201)&gt;=MAX(D4:D8),AY201+4,AY201))</f>
        <v>#VALUE!</v>
      </c>
      <c r="AZ205" s="76" t="e">
        <f>IF(AY205="","",VLOOKUP(AY205,S4:U53,3,0))</f>
        <v>#VALUE!</v>
      </c>
      <c r="BA205" s="8" t="str">
        <f t="shared" si="167"/>
        <v/>
      </c>
      <c r="BC205" s="71" t="e">
        <f t="shared" si="168"/>
        <v>#VALUE!</v>
      </c>
      <c r="BD205" s="71" t="str">
        <f>IF(OR(COUNTBLANK(BG205)=1,ISERROR(BG205)),"",COUNT(BG4:BG205))</f>
        <v/>
      </c>
      <c r="BE205" s="7" t="e">
        <f t="shared" si="169"/>
        <v>#VALUE!</v>
      </c>
      <c r="BF205" s="1" t="str">
        <f>IF(ISERROR(INDEX(C4:C8,MATCH(J205,D4:D8,0))),"",INDEX(C4:C8,MATCH(J205,D4:D8,0)))</f>
        <v/>
      </c>
      <c r="BG205" s="79" t="e">
        <f>IF(IF(COUNTIF(BG4:BG204,BG200)&gt;=MAX(D4:D8),BG200+5,BG200)&gt;50,"",IF(COUNTIF(BG4:BG204,BG200)&gt;=MAX(D4:D8),BG200+5,BG200))</f>
        <v>#VALUE!</v>
      </c>
      <c r="BH205" s="76" t="e">
        <f>IF(BG205="","",VLOOKUP(BG205,S4:U53,3,0))</f>
        <v>#VALUE!</v>
      </c>
      <c r="BI205" s="8" t="str">
        <f t="shared" si="170"/>
        <v/>
      </c>
      <c r="BP205" s="71" t="e">
        <f>IF(BT205="","",BT205*10+2)</f>
        <v>#VALUE!</v>
      </c>
      <c r="BQ205" s="71" t="str">
        <f>IF(OR(COUNTBLANK(BT205)=1,ISERROR(BT205)),"",COUNT(BT4:BT205))</f>
        <v/>
      </c>
      <c r="BR205" s="7" t="e">
        <f t="shared" si="172"/>
        <v>#VALUE!</v>
      </c>
      <c r="BS205" s="1" t="str">
        <f t="shared" si="173"/>
        <v/>
      </c>
      <c r="BT205" s="79" t="e">
        <f>IF(IF(COUNTIF($BT$4:BT204,BT204)&gt;=MAX($D$4:$D$8),BT204+1,BT204)&gt;55,"",IF(COUNTIF($BT$4:BT204,BT204)&gt;=MAX($D$4:$D$8),BT204+1,BT204))</f>
        <v>#VALUE!</v>
      </c>
      <c r="BU205" s="1" t="e">
        <f t="shared" si="174"/>
        <v>#VALUE!</v>
      </c>
      <c r="BV205" s="8" t="str">
        <f t="shared" si="175"/>
        <v/>
      </c>
      <c r="BX205" s="71" t="e">
        <f t="shared" si="176"/>
        <v>#VALUE!</v>
      </c>
      <c r="BY205" s="71" t="str">
        <f>IF(OR(COUNTBLANK(CB205)=1,ISERROR(CB205)),"",COUNT($CB$4:CB205))</f>
        <v/>
      </c>
      <c r="BZ205" s="7" t="e">
        <f t="shared" si="177"/>
        <v>#VALUE!</v>
      </c>
      <c r="CA205" s="1" t="str">
        <f t="shared" si="178"/>
        <v/>
      </c>
      <c r="CB205" s="79" t="e">
        <f>IF(IF(COUNTIF($CB$4:CB204,CB203)&gt;=MAX($D$4:$D$8),CB203+2,CB203)&gt;55,"",IF(COUNTIF($CB$4:CB204,CB203)&gt;=MAX($D$4:$D$8),CB203+2,CB203))</f>
        <v>#VALUE!</v>
      </c>
      <c r="CC205" s="1" t="e">
        <f t="shared" si="179"/>
        <v>#VALUE!</v>
      </c>
      <c r="CD205" s="8" t="str">
        <f t="shared" si="180"/>
        <v/>
      </c>
      <c r="CF205" s="71" t="e">
        <f t="shared" si="149"/>
        <v>#VALUE!</v>
      </c>
      <c r="CG205" s="71" t="str">
        <f>IF(OR(COUNTBLANK(CJ205)=1,ISERROR(CJ205)),"",COUNT($CJ$4:CJ205))</f>
        <v/>
      </c>
      <c r="CH205" s="7" t="e">
        <f t="shared" si="150"/>
        <v>#VALUE!</v>
      </c>
      <c r="CI205" s="1" t="str">
        <f t="shared" si="151"/>
        <v/>
      </c>
      <c r="CJ205" s="79" t="e">
        <f>IF(IF(COUNTIF($CJ$4:CJ204,CJ202)&gt;=MAX($D$4:$D$8),CJ202+3,CJ202)&gt;55,"",IF(COUNTIF($CJ$4:CJ204,CJ202)&gt;=MAX($D$4:$D$8),CJ202+3,CJ202))</f>
        <v>#VALUE!</v>
      </c>
      <c r="CK205" s="1" t="e">
        <f t="shared" si="181"/>
        <v>#VALUE!</v>
      </c>
      <c r="CL205" s="8" t="str">
        <f t="shared" si="152"/>
        <v/>
      </c>
      <c r="CN205" s="71" t="e">
        <f t="shared" si="187"/>
        <v>#VALUE!</v>
      </c>
      <c r="CO205" s="71" t="str">
        <f>IF(OR(COUNTBLANK(CR205)=1,ISERROR(CR205)),"",COUNT($CR$4:CR205))</f>
        <v/>
      </c>
      <c r="CP205" s="7" t="e">
        <f t="shared" si="188"/>
        <v>#VALUE!</v>
      </c>
      <c r="CQ205" s="1" t="str">
        <f t="shared" si="189"/>
        <v/>
      </c>
      <c r="CR205" s="79" t="e">
        <f>IF(IF(COUNTIF($CR$4:CR204,CR201)&gt;=MAX($D$4:$D$8),CR201+4,CR201)&gt;55,"",IF(COUNTIF($CR$4:CR204,CR201)&gt;=MAX($D$4:$D$8),CR201+4,CR201))</f>
        <v>#VALUE!</v>
      </c>
      <c r="CS205" s="1" t="e">
        <f t="shared" si="182"/>
        <v>#VALUE!</v>
      </c>
      <c r="CT205" s="8" t="str">
        <f t="shared" si="190"/>
        <v/>
      </c>
      <c r="CV205" s="71" t="e">
        <f t="shared" si="153"/>
        <v>#VALUE!</v>
      </c>
      <c r="CW205" s="71" t="str">
        <f>IF(OR(COUNTBLANK(CZ205)=1,ISERROR(CZ205)),"",COUNT($CZ$4:CZ205))</f>
        <v/>
      </c>
      <c r="CX205" s="7" t="e">
        <f t="shared" si="154"/>
        <v>#VALUE!</v>
      </c>
      <c r="CY205" s="1" t="str">
        <f t="shared" si="155"/>
        <v/>
      </c>
      <c r="CZ205" s="79" t="e">
        <f>IF(IF(COUNTIF($CZ$4:CZ204,CZ200)&gt;=MAX($D$4:$D$8),CZ200+5,CZ200)&gt;55,"",IF(COUNTIF($CZ$4:CZ204,CZ200)&gt;=MAX($D$4:$D$8),CZ200+5,CZ200))</f>
        <v>#VALUE!</v>
      </c>
      <c r="DA205" s="1" t="e">
        <f t="shared" si="183"/>
        <v>#VALUE!</v>
      </c>
      <c r="DB205" s="8" t="str">
        <f t="shared" si="156"/>
        <v/>
      </c>
    </row>
    <row r="206" spans="5:106" x14ac:dyDescent="0.15">
      <c r="E206" s="1">
        <v>203</v>
      </c>
      <c r="F206" s="1">
        <f t="shared" si="184"/>
        <v>1</v>
      </c>
      <c r="G206" s="1">
        <f t="shared" si="191"/>
        <v>1</v>
      </c>
      <c r="H206" s="1">
        <f t="shared" si="185"/>
        <v>1</v>
      </c>
      <c r="I206" s="1">
        <f t="shared" si="186"/>
        <v>1</v>
      </c>
      <c r="J206" s="1">
        <f t="shared" si="192"/>
        <v>1</v>
      </c>
      <c r="L206" s="1" t="str">
        <f>IF(ISERROR(HLOOKUP($C$10,$F$3:$J$253,204,0)),"",HLOOKUP($C$10,$F$3:$J$253,204,0))</f>
        <v/>
      </c>
      <c r="N206" s="67"/>
      <c r="W206" s="71" t="e">
        <f>IF(AA206="","",AA206*10+3)</f>
        <v>#VALUE!</v>
      </c>
      <c r="X206" s="71" t="str">
        <f>IF(OR(COUNTBLANK(AA206)=1,ISERROR(AA206)),"",COUNT(AA4:AA206))</f>
        <v/>
      </c>
      <c r="Y206" s="7" t="e">
        <f t="shared" si="157"/>
        <v>#VALUE!</v>
      </c>
      <c r="Z206" s="1" t="str">
        <f t="shared" si="171"/>
        <v/>
      </c>
      <c r="AA206" s="79" t="e">
        <f>IF(IF(COUNTIF(AA4:AA205,AA205)&gt;=MAX(D4:D8),AA205+1,AA205)&gt;50,"",IF(COUNTIF(AA4:AA205,AA205)&gt;=MAX(D4:D8),AA205+1,AA205))</f>
        <v>#VALUE!</v>
      </c>
      <c r="AB206" s="1" t="e">
        <f>IF(AA206="","",VLOOKUP(AA206,S4:U53,3,0))</f>
        <v>#VALUE!</v>
      </c>
      <c r="AC206" s="8" t="str">
        <f t="shared" si="158"/>
        <v/>
      </c>
      <c r="AE206" s="71" t="e">
        <f t="shared" si="159"/>
        <v>#VALUE!</v>
      </c>
      <c r="AF206" s="71" t="str">
        <f>IF(OR(COUNTBLANK(AI206)=1,ISERROR(AI206)),"",COUNT(AI4:AI206))</f>
        <v/>
      </c>
      <c r="AG206" s="7" t="e">
        <f t="shared" si="160"/>
        <v>#VALUE!</v>
      </c>
      <c r="AH206" s="1" t="str">
        <f>IF(ISERROR(INDEX(C4:C8,MATCH(G206,D4:D8,0))),"",INDEX(C4:C8,MATCH(G206,D4:D8,0)))</f>
        <v/>
      </c>
      <c r="AI206" s="79" t="e">
        <f>IF(IF(COUNTIF(AI4:AI205,AI204)&gt;=MAX(D4:D8),AI204+2,AI204)&gt;50,"",IF(COUNTIF(AI4:AI205,AI204)&gt;=MAX(D4:D8),AI204+2,AI204))</f>
        <v>#VALUE!</v>
      </c>
      <c r="AJ206" s="1" t="e">
        <f>IF(AI206="","",VLOOKUP(AI206,S4:U53,3,0))</f>
        <v>#VALUE!</v>
      </c>
      <c r="AK206" s="8" t="str">
        <f t="shared" si="161"/>
        <v/>
      </c>
      <c r="AM206" s="71" t="e">
        <f t="shared" si="162"/>
        <v>#VALUE!</v>
      </c>
      <c r="AN206" s="71" t="str">
        <f>IF(OR(COUNTBLANK(AQ206)=1,ISERROR(AQ206)),"",COUNT(AQ4:AQ206))</f>
        <v/>
      </c>
      <c r="AO206" s="7" t="e">
        <f t="shared" si="163"/>
        <v>#VALUE!</v>
      </c>
      <c r="AP206" s="1" t="str">
        <f>IF(ISERROR(INDEX(C4:C8,MATCH(H206,D4:D8,0))),"",INDEX(C4:C8,MATCH(H206,D4:D8,0)))</f>
        <v/>
      </c>
      <c r="AQ206" s="79" t="e">
        <f>IF(IF(COUNTIF(AQ4:AQ205,AQ203)&gt;=MAX(D4:D8),AQ203+3,AQ203)&gt;50,"",IF(COUNTIF(AQ4:AQ205,AQ203)&gt;=MAX(D4:D8),AQ203+3,AQ203))</f>
        <v>#VALUE!</v>
      </c>
      <c r="AR206" s="1" t="e">
        <f>IF(AQ206="","",VLOOKUP(AQ206,S4:U53,3,0))</f>
        <v>#VALUE!</v>
      </c>
      <c r="AS206" s="8" t="str">
        <f t="shared" si="164"/>
        <v/>
      </c>
      <c r="AU206" s="71" t="e">
        <f t="shared" si="165"/>
        <v>#VALUE!</v>
      </c>
      <c r="AV206" s="71" t="str">
        <f>IF(OR(COUNTBLANK(AY206)=1,ISERROR(AY206)),"",COUNT(AY4:AY206))</f>
        <v/>
      </c>
      <c r="AW206" s="7" t="e">
        <f t="shared" si="166"/>
        <v>#VALUE!</v>
      </c>
      <c r="AX206" s="1" t="str">
        <f>IF(ISERROR(INDEX(C4:C8,MATCH(I206,D4:D8,0))),"",INDEX(C4:C8,MATCH(I206,D4:D8,0)))</f>
        <v/>
      </c>
      <c r="AY206" s="79" t="e">
        <f>IF(IF(COUNTIF(AY4:AY205,AY202)&gt;=MAX(D4:D8),AY202+4,AY202)&gt;50,"",IF(COUNTIF(AY4:AY205,AY202)&gt;=MAX(D4:D8),AY202+4,AY202))</f>
        <v>#VALUE!</v>
      </c>
      <c r="AZ206" s="76" t="e">
        <f>IF(AY206="","",VLOOKUP(AY206,S4:U53,3,0))</f>
        <v>#VALUE!</v>
      </c>
      <c r="BA206" s="8" t="str">
        <f t="shared" si="167"/>
        <v/>
      </c>
      <c r="BC206" s="71" t="e">
        <f t="shared" si="168"/>
        <v>#VALUE!</v>
      </c>
      <c r="BD206" s="71" t="str">
        <f>IF(OR(COUNTBLANK(BG206)=1,ISERROR(BG206)),"",COUNT(BG4:BG206))</f>
        <v/>
      </c>
      <c r="BE206" s="7" t="e">
        <f t="shared" si="169"/>
        <v>#VALUE!</v>
      </c>
      <c r="BF206" s="1" t="str">
        <f>IF(ISERROR(INDEX(C4:C8,MATCH(J206,D4:D8,0))),"",INDEX(C4:C8,MATCH(J206,D4:D8,0)))</f>
        <v/>
      </c>
      <c r="BG206" s="79" t="e">
        <f>IF(IF(COUNTIF(BG4:BG205,BG201)&gt;=MAX(D4:D8),BG201+5,BG201)&gt;50,"",IF(COUNTIF(BG4:BG205,BG201)&gt;=MAX(D4:D8),BG201+5,BG201))</f>
        <v>#VALUE!</v>
      </c>
      <c r="BH206" s="76" t="e">
        <f>IF(BG206="","",VLOOKUP(BG206,S4:U53,3,0))</f>
        <v>#VALUE!</v>
      </c>
      <c r="BI206" s="8" t="str">
        <f t="shared" si="170"/>
        <v/>
      </c>
      <c r="BP206" s="71" t="e">
        <f>IF(BT206="","",BT206*10+3)</f>
        <v>#VALUE!</v>
      </c>
      <c r="BQ206" s="71" t="str">
        <f>IF(OR(COUNTBLANK(BT206)=1,ISERROR(BT206)),"",COUNT(BT4:BT206))</f>
        <v/>
      </c>
      <c r="BR206" s="7" t="e">
        <f t="shared" si="172"/>
        <v>#VALUE!</v>
      </c>
      <c r="BS206" s="1" t="str">
        <f t="shared" si="173"/>
        <v/>
      </c>
      <c r="BT206" s="79" t="e">
        <f>IF(IF(COUNTIF($BT$4:BT205,BT205)&gt;=MAX($D$4:$D$8),BT205+1,BT205)&gt;55,"",IF(COUNTIF($BT$4:BT205,BT205)&gt;=MAX($D$4:$D$8),BT205+1,BT205))</f>
        <v>#VALUE!</v>
      </c>
      <c r="BU206" s="1" t="e">
        <f t="shared" si="174"/>
        <v>#VALUE!</v>
      </c>
      <c r="BV206" s="8" t="str">
        <f t="shared" si="175"/>
        <v/>
      </c>
      <c r="BX206" s="71" t="e">
        <f t="shared" si="176"/>
        <v>#VALUE!</v>
      </c>
      <c r="BY206" s="71" t="str">
        <f>IF(OR(COUNTBLANK(CB206)=1,ISERROR(CB206)),"",COUNT($CB$4:CB206))</f>
        <v/>
      </c>
      <c r="BZ206" s="7" t="e">
        <f t="shared" si="177"/>
        <v>#VALUE!</v>
      </c>
      <c r="CA206" s="1" t="str">
        <f t="shared" si="178"/>
        <v/>
      </c>
      <c r="CB206" s="79" t="e">
        <f>IF(IF(COUNTIF($CB$4:CB205,CB204)&gt;=MAX($D$4:$D$8),CB204+2,CB204)&gt;55,"",IF(COUNTIF($CB$4:CB205,CB204)&gt;=MAX($D$4:$D$8),CB204+2,CB204))</f>
        <v>#VALUE!</v>
      </c>
      <c r="CC206" s="1" t="e">
        <f t="shared" si="179"/>
        <v>#VALUE!</v>
      </c>
      <c r="CD206" s="8" t="str">
        <f t="shared" si="180"/>
        <v/>
      </c>
      <c r="CF206" s="71" t="e">
        <f t="shared" si="149"/>
        <v>#VALUE!</v>
      </c>
      <c r="CG206" s="71" t="str">
        <f>IF(OR(COUNTBLANK(CJ206)=1,ISERROR(CJ206)),"",COUNT($CJ$4:CJ206))</f>
        <v/>
      </c>
      <c r="CH206" s="7" t="e">
        <f t="shared" si="150"/>
        <v>#VALUE!</v>
      </c>
      <c r="CI206" s="1" t="str">
        <f t="shared" si="151"/>
        <v/>
      </c>
      <c r="CJ206" s="79" t="e">
        <f>IF(IF(COUNTIF($CJ$4:CJ205,CJ203)&gt;=MAX($D$4:$D$8),CJ203+3,CJ203)&gt;55,"",IF(COUNTIF($CJ$4:CJ205,CJ203)&gt;=MAX($D$4:$D$8),CJ203+3,CJ203))</f>
        <v>#VALUE!</v>
      </c>
      <c r="CK206" s="1" t="e">
        <f t="shared" si="181"/>
        <v>#VALUE!</v>
      </c>
      <c r="CL206" s="8" t="str">
        <f t="shared" si="152"/>
        <v/>
      </c>
      <c r="CN206" s="71" t="e">
        <f t="shared" si="187"/>
        <v>#VALUE!</v>
      </c>
      <c r="CO206" s="71" t="str">
        <f>IF(OR(COUNTBLANK(CR206)=1,ISERROR(CR206)),"",COUNT($CR$4:CR206))</f>
        <v/>
      </c>
      <c r="CP206" s="7" t="e">
        <f t="shared" si="188"/>
        <v>#VALUE!</v>
      </c>
      <c r="CQ206" s="1" t="str">
        <f t="shared" si="189"/>
        <v/>
      </c>
      <c r="CR206" s="79" t="e">
        <f>IF(IF(COUNTIF($CR$4:CR205,CR202)&gt;=MAX($D$4:$D$8),CR202+4,CR202)&gt;55,"",IF(COUNTIF($CR$4:CR205,CR202)&gt;=MAX($D$4:$D$8),CR202+4,CR202))</f>
        <v>#VALUE!</v>
      </c>
      <c r="CS206" s="1" t="e">
        <f t="shared" si="182"/>
        <v>#VALUE!</v>
      </c>
      <c r="CT206" s="8" t="str">
        <f t="shared" si="190"/>
        <v/>
      </c>
      <c r="CV206" s="71" t="e">
        <f t="shared" si="153"/>
        <v>#VALUE!</v>
      </c>
      <c r="CW206" s="71" t="str">
        <f>IF(OR(COUNTBLANK(CZ206)=1,ISERROR(CZ206)),"",COUNT($CZ$4:CZ206))</f>
        <v/>
      </c>
      <c r="CX206" s="7" t="e">
        <f t="shared" si="154"/>
        <v>#VALUE!</v>
      </c>
      <c r="CY206" s="1" t="str">
        <f t="shared" si="155"/>
        <v/>
      </c>
      <c r="CZ206" s="79" t="e">
        <f>IF(IF(COUNTIF($CZ$4:CZ205,CZ201)&gt;=MAX($D$4:$D$8),CZ201+5,CZ201)&gt;55,"",IF(COUNTIF($CZ$4:CZ205,CZ201)&gt;=MAX($D$4:$D$8),CZ201+5,CZ201))</f>
        <v>#VALUE!</v>
      </c>
      <c r="DA206" s="1" t="e">
        <f t="shared" si="183"/>
        <v>#VALUE!</v>
      </c>
      <c r="DB206" s="8" t="str">
        <f t="shared" si="156"/>
        <v/>
      </c>
    </row>
    <row r="207" spans="5:106" x14ac:dyDescent="0.15">
      <c r="E207" s="1">
        <v>204</v>
      </c>
      <c r="F207" s="1">
        <f t="shared" si="184"/>
        <v>1</v>
      </c>
      <c r="G207" s="1">
        <f t="shared" si="191"/>
        <v>1</v>
      </c>
      <c r="H207" s="1">
        <f t="shared" si="185"/>
        <v>1</v>
      </c>
      <c r="I207" s="1">
        <f t="shared" si="186"/>
        <v>1</v>
      </c>
      <c r="J207" s="1">
        <f t="shared" si="192"/>
        <v>1</v>
      </c>
      <c r="L207" s="1" t="str">
        <f>IF(ISERROR(HLOOKUP($C$10,$F$3:$J$253,205,0)),"",HLOOKUP($C$10,$F$3:$J$253,205,0))</f>
        <v/>
      </c>
      <c r="N207" s="67"/>
      <c r="W207" s="71" t="e">
        <f>IF(AA207="","",AA207*10+4)</f>
        <v>#VALUE!</v>
      </c>
      <c r="X207" s="71" t="str">
        <f>IF(OR(COUNTBLANK(AA207)=1,ISERROR(AA207)),"",COUNT(AA4:AA207))</f>
        <v/>
      </c>
      <c r="Y207" s="7" t="e">
        <f t="shared" si="157"/>
        <v>#VALUE!</v>
      </c>
      <c r="Z207" s="1" t="str">
        <f t="shared" si="171"/>
        <v/>
      </c>
      <c r="AA207" s="79" t="e">
        <f>IF(IF(COUNTIF(AA4:AA206,AA206)&gt;=MAX(D4:D8),AA206+1,AA206)&gt;50,"",IF(COUNTIF(AA4:AA206,AA206)&gt;=MAX(D4:D8),AA206+1,AA206))</f>
        <v>#VALUE!</v>
      </c>
      <c r="AB207" s="1" t="e">
        <f>IF(AA207="","",VLOOKUP(AA207,S4:U53,3,0))</f>
        <v>#VALUE!</v>
      </c>
      <c r="AC207" s="8" t="str">
        <f t="shared" si="158"/>
        <v/>
      </c>
      <c r="AE207" s="71" t="e">
        <f t="shared" si="159"/>
        <v>#VALUE!</v>
      </c>
      <c r="AF207" s="71" t="str">
        <f>IF(OR(COUNTBLANK(AI207)=1,ISERROR(AI207)),"",COUNT(AI4:AI207))</f>
        <v/>
      </c>
      <c r="AG207" s="7" t="e">
        <f t="shared" si="160"/>
        <v>#VALUE!</v>
      </c>
      <c r="AH207" s="1" t="str">
        <f>IF(ISERROR(INDEX(C4:C8,MATCH(G207,D4:D8,0))),"",INDEX(C4:C8,MATCH(G207,D4:D8,0)))</f>
        <v/>
      </c>
      <c r="AI207" s="79" t="e">
        <f>IF(IF(COUNTIF(AI4:AI205,AI205)&gt;=MAX(D4:D8),AI205+2,AI205)&gt;50,"",IF(COUNTIF(AI4:AI205,AI205)&gt;=MAX(D4:D8),AI205+2,AI205))</f>
        <v>#VALUE!</v>
      </c>
      <c r="AJ207" s="1" t="e">
        <f>IF(AI207="","",VLOOKUP(AI207,S4:U53,3,0))</f>
        <v>#VALUE!</v>
      </c>
      <c r="AK207" s="8" t="str">
        <f t="shared" si="161"/>
        <v/>
      </c>
      <c r="AM207" s="71" t="e">
        <f t="shared" si="162"/>
        <v>#VALUE!</v>
      </c>
      <c r="AN207" s="71" t="str">
        <f>IF(OR(COUNTBLANK(AQ207)=1,ISERROR(AQ207)),"",COUNT(AQ4:AQ207))</f>
        <v/>
      </c>
      <c r="AO207" s="7" t="e">
        <f t="shared" si="163"/>
        <v>#VALUE!</v>
      </c>
      <c r="AP207" s="1" t="str">
        <f>IF(ISERROR(INDEX(C4:C8,MATCH(H207,D4:D8,0))),"",INDEX(C4:C8,MATCH(H207,D4:D8,0)))</f>
        <v/>
      </c>
      <c r="AQ207" s="79" t="e">
        <f>IF(IF(COUNTIF(AQ4:AQ206,AQ204)&gt;=MAX(D4:D8),AQ204+3,AQ204)&gt;50,"",IF(COUNTIF(AQ4:AQ206,AQ204)&gt;=MAX(D4:D8),AQ204+3,AQ204))</f>
        <v>#VALUE!</v>
      </c>
      <c r="AR207" s="1" t="e">
        <f>IF(AQ207="","",VLOOKUP(AQ207,S4:U53,3,0))</f>
        <v>#VALUE!</v>
      </c>
      <c r="AS207" s="8" t="str">
        <f t="shared" si="164"/>
        <v/>
      </c>
      <c r="AU207" s="71" t="e">
        <f t="shared" si="165"/>
        <v>#VALUE!</v>
      </c>
      <c r="AV207" s="71" t="str">
        <f>IF(OR(COUNTBLANK(AY207)=1,ISERROR(AY207)),"",COUNT(AY4:AY207))</f>
        <v/>
      </c>
      <c r="AW207" s="7" t="e">
        <f t="shared" si="166"/>
        <v>#VALUE!</v>
      </c>
      <c r="AX207" s="1" t="str">
        <f>IF(ISERROR(INDEX(C4:C8,MATCH(I207,D4:D8,0))),"",INDEX(C4:C8,MATCH(I207,D4:D8,0)))</f>
        <v/>
      </c>
      <c r="AY207" s="79" t="e">
        <f>IF(IF(COUNTIF(AY4:AY206,AY203)&gt;=MAX(D4:D8),AY203+4,AY203)&gt;50,"",IF(COUNTIF(AY4:AY206,AY203)&gt;=MAX(D4:D8),AY203+4,AY203))</f>
        <v>#VALUE!</v>
      </c>
      <c r="AZ207" s="76" t="e">
        <f>IF(AY207="","",VLOOKUP(AY207,S4:U53,3,0))</f>
        <v>#VALUE!</v>
      </c>
      <c r="BA207" s="8" t="str">
        <f t="shared" si="167"/>
        <v/>
      </c>
      <c r="BC207" s="71" t="e">
        <f t="shared" si="168"/>
        <v>#VALUE!</v>
      </c>
      <c r="BD207" s="71" t="str">
        <f>IF(OR(COUNTBLANK(BG207)=1,ISERROR(BG207)),"",COUNT(BG4:BG207))</f>
        <v/>
      </c>
      <c r="BE207" s="7" t="e">
        <f t="shared" si="169"/>
        <v>#VALUE!</v>
      </c>
      <c r="BF207" s="1" t="str">
        <f>IF(ISERROR(INDEX(C4:C8,MATCH(J207,D4:D8,0))),"",INDEX(C4:C8,MATCH(J207,D4:D8,0)))</f>
        <v/>
      </c>
      <c r="BG207" s="79" t="e">
        <f>IF(IF(COUNTIF(BG4:BG206,BG202)&gt;=MAX(D4:D8),BG202+5,BG202)&gt;50,"",IF(COUNTIF(BG4:BG206,BG202)&gt;=MAX(D4:D8),BG202+5,BG202))</f>
        <v>#VALUE!</v>
      </c>
      <c r="BH207" s="76" t="e">
        <f>IF(BG207="","",VLOOKUP(BG207,S4:U53,3,0))</f>
        <v>#VALUE!</v>
      </c>
      <c r="BI207" s="8" t="str">
        <f t="shared" si="170"/>
        <v/>
      </c>
      <c r="BP207" s="71" t="e">
        <f>IF(BT207="","",BT207*10+4)</f>
        <v>#VALUE!</v>
      </c>
      <c r="BQ207" s="71" t="str">
        <f>IF(OR(COUNTBLANK(BT207)=1,ISERROR(BT207)),"",COUNT(BT4:BT207))</f>
        <v/>
      </c>
      <c r="BR207" s="7" t="e">
        <f t="shared" si="172"/>
        <v>#VALUE!</v>
      </c>
      <c r="BS207" s="1" t="str">
        <f t="shared" si="173"/>
        <v/>
      </c>
      <c r="BT207" s="79" t="e">
        <f>IF(IF(COUNTIF($BT$4:BT206,BT206)&gt;=MAX($D$4:$D$8),BT206+1,BT206)&gt;55,"",IF(COUNTIF($BT$4:BT206,BT206)&gt;=MAX($D$4:$D$8),BT206+1,BT206))</f>
        <v>#VALUE!</v>
      </c>
      <c r="BU207" s="1" t="e">
        <f t="shared" si="174"/>
        <v>#VALUE!</v>
      </c>
      <c r="BV207" s="8" t="str">
        <f t="shared" si="175"/>
        <v/>
      </c>
      <c r="BX207" s="71" t="e">
        <f t="shared" si="176"/>
        <v>#VALUE!</v>
      </c>
      <c r="BY207" s="71" t="str">
        <f>IF(OR(COUNTBLANK(CB207)=1,ISERROR(CB207)),"",COUNT($CB$4:CB207))</f>
        <v/>
      </c>
      <c r="BZ207" s="7" t="e">
        <f t="shared" si="177"/>
        <v>#VALUE!</v>
      </c>
      <c r="CA207" s="1" t="str">
        <f t="shared" si="178"/>
        <v/>
      </c>
      <c r="CB207" s="79" t="e">
        <f>IF(IF(COUNTIF($CB$4:CB206,CB205)&gt;=MAX($D$4:$D$8),CB205+2,CB205)&gt;55,"",IF(COUNTIF($CB$4:CB206,CB205)&gt;=MAX($D$4:$D$8),CB205+2,CB205))</f>
        <v>#VALUE!</v>
      </c>
      <c r="CC207" s="1" t="e">
        <f t="shared" si="179"/>
        <v>#VALUE!</v>
      </c>
      <c r="CD207" s="8" t="str">
        <f t="shared" si="180"/>
        <v/>
      </c>
      <c r="CF207" s="71" t="e">
        <f t="shared" si="149"/>
        <v>#VALUE!</v>
      </c>
      <c r="CG207" s="71" t="str">
        <f>IF(OR(COUNTBLANK(CJ207)=1,ISERROR(CJ207)),"",COUNT($CJ$4:CJ207))</f>
        <v/>
      </c>
      <c r="CH207" s="7" t="e">
        <f t="shared" si="150"/>
        <v>#VALUE!</v>
      </c>
      <c r="CI207" s="1" t="str">
        <f t="shared" si="151"/>
        <v/>
      </c>
      <c r="CJ207" s="79" t="e">
        <f>IF(IF(COUNTIF($CJ$4:CJ206,CJ204)&gt;=MAX($D$4:$D$8),CJ204+3,CJ204)&gt;55,"",IF(COUNTIF($CJ$4:CJ206,CJ204)&gt;=MAX($D$4:$D$8),CJ204+3,CJ204))</f>
        <v>#VALUE!</v>
      </c>
      <c r="CK207" s="1" t="e">
        <f t="shared" si="181"/>
        <v>#VALUE!</v>
      </c>
      <c r="CL207" s="8" t="str">
        <f t="shared" si="152"/>
        <v/>
      </c>
      <c r="CN207" s="71" t="e">
        <f t="shared" si="187"/>
        <v>#VALUE!</v>
      </c>
      <c r="CO207" s="71" t="str">
        <f>IF(OR(COUNTBLANK(CR207)=1,ISERROR(CR207)),"",COUNT($CR$4:CR207))</f>
        <v/>
      </c>
      <c r="CP207" s="7" t="e">
        <f t="shared" si="188"/>
        <v>#VALUE!</v>
      </c>
      <c r="CQ207" s="1" t="str">
        <f t="shared" si="189"/>
        <v/>
      </c>
      <c r="CR207" s="79" t="e">
        <f>IF(IF(COUNTIF($CR$4:CR206,CR203)&gt;=MAX($D$4:$D$8),CR203+4,CR203)&gt;55,"",IF(COUNTIF($CR$4:CR206,CR203)&gt;=MAX($D$4:$D$8),CR203+4,CR203))</f>
        <v>#VALUE!</v>
      </c>
      <c r="CS207" s="1" t="e">
        <f t="shared" si="182"/>
        <v>#VALUE!</v>
      </c>
      <c r="CT207" s="8" t="str">
        <f t="shared" si="190"/>
        <v/>
      </c>
      <c r="CV207" s="71" t="e">
        <f t="shared" si="153"/>
        <v>#VALUE!</v>
      </c>
      <c r="CW207" s="71" t="str">
        <f>IF(OR(COUNTBLANK(CZ207)=1,ISERROR(CZ207)),"",COUNT($CZ$4:CZ207))</f>
        <v/>
      </c>
      <c r="CX207" s="7" t="e">
        <f t="shared" si="154"/>
        <v>#VALUE!</v>
      </c>
      <c r="CY207" s="1" t="str">
        <f t="shared" si="155"/>
        <v/>
      </c>
      <c r="CZ207" s="79" t="e">
        <f>IF(IF(COUNTIF($CZ$4:CZ206,CZ202)&gt;=MAX($D$4:$D$8),CZ202+5,CZ202)&gt;55,"",IF(COUNTIF($CZ$4:CZ206,CZ202)&gt;=MAX($D$4:$D$8),CZ202+5,CZ202))</f>
        <v>#VALUE!</v>
      </c>
      <c r="DA207" s="1" t="e">
        <f t="shared" si="183"/>
        <v>#VALUE!</v>
      </c>
      <c r="DB207" s="8" t="str">
        <f t="shared" si="156"/>
        <v/>
      </c>
    </row>
    <row r="208" spans="5:106" x14ac:dyDescent="0.15">
      <c r="E208" s="1">
        <v>205</v>
      </c>
      <c r="F208" s="1">
        <f t="shared" si="184"/>
        <v>1</v>
      </c>
      <c r="G208" s="1">
        <f t="shared" si="191"/>
        <v>1</v>
      </c>
      <c r="H208" s="1">
        <f t="shared" si="185"/>
        <v>1</v>
      </c>
      <c r="I208" s="1">
        <f t="shared" si="186"/>
        <v>1</v>
      </c>
      <c r="J208" s="1">
        <f t="shared" si="192"/>
        <v>1</v>
      </c>
      <c r="L208" s="1" t="str">
        <f>IF(ISERROR(HLOOKUP($C$10,$F$3:$J$253,206,0)),"",HLOOKUP($C$10,$F$3:$J$253,206,0))</f>
        <v/>
      </c>
      <c r="N208" s="67"/>
      <c r="W208" s="71" t="e">
        <f>IF(AA208="","",AA208*10+5)</f>
        <v>#VALUE!</v>
      </c>
      <c r="X208" s="71" t="str">
        <f>IF(OR(COUNTBLANK(AA208)=1,ISERROR(AA208)),"",COUNT(AA4:AA208))</f>
        <v/>
      </c>
      <c r="Y208" s="7" t="e">
        <f t="shared" si="157"/>
        <v>#VALUE!</v>
      </c>
      <c r="Z208" s="1" t="str">
        <f t="shared" si="171"/>
        <v/>
      </c>
      <c r="AA208" s="79" t="e">
        <f>IF(IF(COUNTIF(AA4:AA207,AA207)&gt;=MAX(D4:D8),AA207+1,AA207)&gt;50,"",IF(COUNTIF(AA4:AA207,AA207)&gt;=MAX(D4:D8),AA207+1,AA207))</f>
        <v>#VALUE!</v>
      </c>
      <c r="AB208" s="1" t="e">
        <f>IF(AA208="","",VLOOKUP(AA208,S4:U53,3,0))</f>
        <v>#VALUE!</v>
      </c>
      <c r="AC208" s="8" t="str">
        <f t="shared" si="158"/>
        <v/>
      </c>
      <c r="AE208" s="71" t="e">
        <f t="shared" si="159"/>
        <v>#VALUE!</v>
      </c>
      <c r="AF208" s="71" t="str">
        <f>IF(OR(COUNTBLANK(AI208)=1,ISERROR(AI208)),"",COUNT(AI4:AI208))</f>
        <v/>
      </c>
      <c r="AG208" s="7" t="e">
        <f t="shared" si="160"/>
        <v>#VALUE!</v>
      </c>
      <c r="AH208" s="1" t="str">
        <f>IF(ISERROR(INDEX(C4:C8,MATCH(G208,D4:D8,0))),"",INDEX(C4:C8,MATCH(G208,D4:D8,0)))</f>
        <v/>
      </c>
      <c r="AI208" s="79" t="e">
        <f>IF(IF(COUNTIF(AI4:AI207,AI206)&gt;=MAX(D4:D8),AI206+2,AI206)&gt;50,"",IF(COUNTIF(AI4:AI207,AI206)&gt;=MAX(D4:D8),AI206+2,AI206))</f>
        <v>#VALUE!</v>
      </c>
      <c r="AJ208" s="1" t="e">
        <f>IF(AI208="","",VLOOKUP(AI208,S4:U53,3,0))</f>
        <v>#VALUE!</v>
      </c>
      <c r="AK208" s="8" t="str">
        <f t="shared" si="161"/>
        <v/>
      </c>
      <c r="AM208" s="71" t="e">
        <f t="shared" si="162"/>
        <v>#VALUE!</v>
      </c>
      <c r="AN208" s="71" t="str">
        <f>IF(OR(COUNTBLANK(AQ208)=1,ISERROR(AQ208)),"",COUNT(AQ4:AQ208))</f>
        <v/>
      </c>
      <c r="AO208" s="7" t="e">
        <f t="shared" si="163"/>
        <v>#VALUE!</v>
      </c>
      <c r="AP208" s="1" t="str">
        <f>IF(ISERROR(INDEX(C4:C8,MATCH(H208,D4:D8,0))),"",INDEX(C4:C8,MATCH(H208,D4:D8,0)))</f>
        <v/>
      </c>
      <c r="AQ208" s="79" t="e">
        <f>IF(IF(COUNTIF(AQ4:AQ207,AQ205)&gt;=MAX(D4:D8),AQ205+3,AQ205)&gt;50,"",IF(COUNTIF(AQ4:AQ207,AQ205)&gt;=MAX(D4:D8),AQ205+3,AQ205))</f>
        <v>#VALUE!</v>
      </c>
      <c r="AR208" s="1" t="e">
        <f>IF(AQ208="","",VLOOKUP(AQ208,S4:U53,3,0))</f>
        <v>#VALUE!</v>
      </c>
      <c r="AS208" s="8" t="str">
        <f t="shared" si="164"/>
        <v/>
      </c>
      <c r="AU208" s="71" t="e">
        <f t="shared" si="165"/>
        <v>#VALUE!</v>
      </c>
      <c r="AV208" s="71" t="str">
        <f>IF(OR(COUNTBLANK(AY208)=1,ISERROR(AY208)),"",COUNT(AY4:AY208))</f>
        <v/>
      </c>
      <c r="AW208" s="7" t="e">
        <f t="shared" si="166"/>
        <v>#VALUE!</v>
      </c>
      <c r="AX208" s="1" t="str">
        <f>IF(ISERROR(INDEX(C4:C8,MATCH(I208,D4:D8,0))),"",INDEX(C4:C8,MATCH(I208,D4:D8,0)))</f>
        <v/>
      </c>
      <c r="AY208" s="79" t="e">
        <f>IF(IF(COUNTIF(AY4:AY207,AY204)&gt;=MAX(D4:D8),AY204+4,AY204)&gt;50,"",IF(COUNTIF(AY4:AY207,AY204)&gt;=MAX(D4:D8),AY204+4,AY204))</f>
        <v>#VALUE!</v>
      </c>
      <c r="AZ208" s="76" t="e">
        <f>IF(AY208="","",VLOOKUP(AY208,S4:U53,3,0))</f>
        <v>#VALUE!</v>
      </c>
      <c r="BA208" s="8" t="str">
        <f t="shared" si="167"/>
        <v/>
      </c>
      <c r="BC208" s="71" t="e">
        <f t="shared" si="168"/>
        <v>#VALUE!</v>
      </c>
      <c r="BD208" s="71" t="str">
        <f>IF(OR(COUNTBLANK(BG208)=1,ISERROR(BG208)),"",COUNT(BG4:BG208))</f>
        <v/>
      </c>
      <c r="BE208" s="7" t="e">
        <f t="shared" si="169"/>
        <v>#VALUE!</v>
      </c>
      <c r="BF208" s="1" t="str">
        <f>IF(ISERROR(INDEX(C4:C8,MATCH(J208,D4:D8,0))),"",INDEX(C4:C8,MATCH(J208,D4:D8,0)))</f>
        <v/>
      </c>
      <c r="BG208" s="79" t="e">
        <f>IF(IF(COUNTIF(BG4:BG207,BG203)&gt;=MAX(D4:D8),BG203+5,BG203)&gt;50,"",IF(COUNTIF(BG4:BG207,BG203)&gt;=MAX(D4:D8),BG203+5,BG203))</f>
        <v>#VALUE!</v>
      </c>
      <c r="BH208" s="76" t="e">
        <f>IF(BG208="","",VLOOKUP(BG208,S4:U53,3,0))</f>
        <v>#VALUE!</v>
      </c>
      <c r="BI208" s="8" t="str">
        <f t="shared" si="170"/>
        <v/>
      </c>
      <c r="BP208" s="71" t="e">
        <f>IF(BT208="","",BT208*10+5)</f>
        <v>#VALUE!</v>
      </c>
      <c r="BQ208" s="71" t="str">
        <f>IF(OR(COUNTBLANK(BT208)=1,ISERROR(BT208)),"",COUNT(BT4:BT208))</f>
        <v/>
      </c>
      <c r="BR208" s="7" t="e">
        <f t="shared" si="172"/>
        <v>#VALUE!</v>
      </c>
      <c r="BS208" s="1" t="str">
        <f t="shared" si="173"/>
        <v/>
      </c>
      <c r="BT208" s="79" t="e">
        <f>IF(IF(COUNTIF($BT$4:BT207,BT207)&gt;=MAX($D$4:$D$8),BT207+1,BT207)&gt;55,"",IF(COUNTIF($BT$4:BT207,BT207)&gt;=MAX($D$4:$D$8),BT207+1,BT207))</f>
        <v>#VALUE!</v>
      </c>
      <c r="BU208" s="1" t="e">
        <f t="shared" si="174"/>
        <v>#VALUE!</v>
      </c>
      <c r="BV208" s="8" t="str">
        <f t="shared" si="175"/>
        <v/>
      </c>
      <c r="BX208" s="71" t="e">
        <f t="shared" si="176"/>
        <v>#VALUE!</v>
      </c>
      <c r="BY208" s="71" t="str">
        <f>IF(OR(COUNTBLANK(CB208)=1,ISERROR(CB208)),"",COUNT($CB$4:CB208))</f>
        <v/>
      </c>
      <c r="BZ208" s="7" t="e">
        <f t="shared" si="177"/>
        <v>#VALUE!</v>
      </c>
      <c r="CA208" s="1" t="str">
        <f t="shared" si="178"/>
        <v/>
      </c>
      <c r="CB208" s="79" t="e">
        <f>IF(IF(COUNTIF($CB$4:CB207,CB206)&gt;=MAX($D$4:$D$8),CB206+2,CB206)&gt;55,"",IF(COUNTIF($CB$4:CB207,CB206)&gt;=MAX($D$4:$D$8),CB206+2,CB206))</f>
        <v>#VALUE!</v>
      </c>
      <c r="CC208" s="1" t="e">
        <f t="shared" si="179"/>
        <v>#VALUE!</v>
      </c>
      <c r="CD208" s="8" t="str">
        <f t="shared" si="180"/>
        <v/>
      </c>
      <c r="CF208" s="71" t="e">
        <f t="shared" si="149"/>
        <v>#VALUE!</v>
      </c>
      <c r="CG208" s="71" t="str">
        <f>IF(OR(COUNTBLANK(CJ208)=1,ISERROR(CJ208)),"",COUNT($CJ$4:CJ208))</f>
        <v/>
      </c>
      <c r="CH208" s="7" t="e">
        <f t="shared" si="150"/>
        <v>#VALUE!</v>
      </c>
      <c r="CI208" s="1" t="str">
        <f t="shared" si="151"/>
        <v/>
      </c>
      <c r="CJ208" s="79" t="e">
        <f>IF(IF(COUNTIF($CJ$4:CJ207,CJ205)&gt;=MAX($D$4:$D$8),CJ205+3,CJ205)&gt;55,"",IF(COUNTIF($CJ$4:CJ207,CJ205)&gt;=MAX($D$4:$D$8),CJ205+3,CJ205))</f>
        <v>#VALUE!</v>
      </c>
      <c r="CK208" s="1" t="e">
        <f t="shared" si="181"/>
        <v>#VALUE!</v>
      </c>
      <c r="CL208" s="8" t="str">
        <f t="shared" si="152"/>
        <v/>
      </c>
      <c r="CN208" s="71" t="e">
        <f t="shared" si="187"/>
        <v>#VALUE!</v>
      </c>
      <c r="CO208" s="71" t="str">
        <f>IF(OR(COUNTBLANK(CR208)=1,ISERROR(CR208)),"",COUNT($CR$4:CR208))</f>
        <v/>
      </c>
      <c r="CP208" s="7" t="e">
        <f t="shared" si="188"/>
        <v>#VALUE!</v>
      </c>
      <c r="CQ208" s="1" t="str">
        <f t="shared" si="189"/>
        <v/>
      </c>
      <c r="CR208" s="79" t="e">
        <f>IF(IF(COUNTIF($CR$4:CR207,CR204)&gt;=MAX($D$4:$D$8),CR204+4,CR204)&gt;55,"",IF(COUNTIF($CR$4:CR207,CR204)&gt;=MAX($D$4:$D$8),CR204+4,CR204))</f>
        <v>#VALUE!</v>
      </c>
      <c r="CS208" s="1" t="e">
        <f t="shared" si="182"/>
        <v>#VALUE!</v>
      </c>
      <c r="CT208" s="8" t="str">
        <f t="shared" si="190"/>
        <v/>
      </c>
      <c r="CV208" s="71" t="e">
        <f t="shared" si="153"/>
        <v>#VALUE!</v>
      </c>
      <c r="CW208" s="71" t="str">
        <f>IF(OR(COUNTBLANK(CZ208)=1,ISERROR(CZ208)),"",COUNT($CZ$4:CZ208))</f>
        <v/>
      </c>
      <c r="CX208" s="7" t="e">
        <f t="shared" si="154"/>
        <v>#VALUE!</v>
      </c>
      <c r="CY208" s="1" t="str">
        <f t="shared" si="155"/>
        <v/>
      </c>
      <c r="CZ208" s="79" t="e">
        <f>IF(IF(COUNTIF($CZ$4:CZ207,CZ203)&gt;=MAX($D$4:$D$8),CZ203+5,CZ203)&gt;55,"",IF(COUNTIF($CZ$4:CZ207,CZ203)&gt;=MAX($D$4:$D$8),CZ203+5,CZ203))</f>
        <v>#VALUE!</v>
      </c>
      <c r="DA208" s="1" t="e">
        <f t="shared" si="183"/>
        <v>#VALUE!</v>
      </c>
      <c r="DB208" s="8" t="str">
        <f t="shared" si="156"/>
        <v/>
      </c>
    </row>
    <row r="209" spans="5:106" x14ac:dyDescent="0.15">
      <c r="E209" s="1">
        <v>206</v>
      </c>
      <c r="F209" s="1">
        <f t="shared" si="184"/>
        <v>1</v>
      </c>
      <c r="G209" s="1">
        <f t="shared" si="191"/>
        <v>1</v>
      </c>
      <c r="H209" s="1">
        <f t="shared" si="185"/>
        <v>1</v>
      </c>
      <c r="I209" s="1">
        <f t="shared" si="186"/>
        <v>1</v>
      </c>
      <c r="J209" s="1">
        <f t="shared" si="192"/>
        <v>1</v>
      </c>
      <c r="L209" s="1" t="str">
        <f>IF(ISERROR(HLOOKUP($C$10,$F$3:$J$253,207,0)),"",HLOOKUP($C$10,$F$3:$J$253,207,0))</f>
        <v/>
      </c>
      <c r="N209" s="67"/>
      <c r="W209" s="71" t="e">
        <f>IF(AA209="","",AA209*10+1)</f>
        <v>#VALUE!</v>
      </c>
      <c r="X209" s="71" t="str">
        <f>IF(OR(COUNTBLANK(AA209)=1,ISERROR(AA209)),"",COUNT(AA4:AA209))</f>
        <v/>
      </c>
      <c r="Y209" s="7" t="e">
        <f t="shared" si="157"/>
        <v>#VALUE!</v>
      </c>
      <c r="Z209" s="1" t="str">
        <f t="shared" si="171"/>
        <v/>
      </c>
      <c r="AA209" s="79" t="e">
        <f>IF(IF(COUNTIF(AA4:AA208,AA208)&gt;=MAX(D4:D8),AA208+1,AA208)&gt;50,"",IF(COUNTIF(AA4:AA208,AA208)&gt;=MAX(D4:D8),AA208+1,AA208))</f>
        <v>#VALUE!</v>
      </c>
      <c r="AB209" s="1" t="e">
        <f>IF(AA209="","",VLOOKUP(AA209,S4:U53,3,0))</f>
        <v>#VALUE!</v>
      </c>
      <c r="AC209" s="8" t="str">
        <f t="shared" si="158"/>
        <v/>
      </c>
      <c r="AE209" s="71" t="e">
        <f t="shared" si="159"/>
        <v>#VALUE!</v>
      </c>
      <c r="AF209" s="71" t="str">
        <f>IF(OR(COUNTBLANK(AI209)=1,ISERROR(AI209)),"",COUNT(AI4:AI209))</f>
        <v/>
      </c>
      <c r="AG209" s="7" t="e">
        <f t="shared" si="160"/>
        <v>#VALUE!</v>
      </c>
      <c r="AH209" s="1" t="str">
        <f>IF(ISERROR(INDEX(C4:C8,MATCH(G209,D4:D8,0))),"",INDEX(C4:C8,MATCH(G209,D4:D8,0)))</f>
        <v/>
      </c>
      <c r="AI209" s="79" t="e">
        <f>IF(IF(COUNTIF(AI4:AI207,AI207)&gt;=MAX(D4:D8),AI207+2,AI207)&gt;50,"",IF(COUNTIF(AI4:AI207,AI207)&gt;=MAX(D4:D8),AI207+2,AI207))</f>
        <v>#VALUE!</v>
      </c>
      <c r="AJ209" s="1" t="e">
        <f>IF(AI209="","",VLOOKUP(AI209,S4:U53,3,0))</f>
        <v>#VALUE!</v>
      </c>
      <c r="AK209" s="8" t="str">
        <f t="shared" si="161"/>
        <v/>
      </c>
      <c r="AM209" s="71" t="e">
        <f t="shared" si="162"/>
        <v>#VALUE!</v>
      </c>
      <c r="AN209" s="71" t="str">
        <f>IF(OR(COUNTBLANK(AQ209)=1,ISERROR(AQ209)),"",COUNT(AQ4:AQ209))</f>
        <v/>
      </c>
      <c r="AO209" s="7" t="e">
        <f t="shared" si="163"/>
        <v>#VALUE!</v>
      </c>
      <c r="AP209" s="1" t="str">
        <f>IF(ISERROR(INDEX(C4:C8,MATCH(H209,D4:D8,0))),"",INDEX(C4:C8,MATCH(H209,D4:D8,0)))</f>
        <v/>
      </c>
      <c r="AQ209" s="79" t="e">
        <f>IF(IF(COUNTIF(AQ4:AQ208,AQ206)&gt;=MAX(D4:D8),AQ206+3,AQ206)&gt;50,"",IF(COUNTIF(AQ4:AQ208,AQ206)&gt;=MAX(D4:D8),AQ206+3,AQ206))</f>
        <v>#VALUE!</v>
      </c>
      <c r="AR209" s="1" t="e">
        <f>IF(AQ209="","",VLOOKUP(AQ209,S4:U53,3,0))</f>
        <v>#VALUE!</v>
      </c>
      <c r="AS209" s="8" t="str">
        <f t="shared" si="164"/>
        <v/>
      </c>
      <c r="AU209" s="71" t="e">
        <f t="shared" si="165"/>
        <v>#VALUE!</v>
      </c>
      <c r="AV209" s="71" t="str">
        <f>IF(OR(COUNTBLANK(AY209)=1,ISERROR(AY209)),"",COUNT(AY4:AY209))</f>
        <v/>
      </c>
      <c r="AW209" s="7" t="e">
        <f t="shared" si="166"/>
        <v>#VALUE!</v>
      </c>
      <c r="AX209" s="1" t="str">
        <f>IF(ISERROR(INDEX(C4:C8,MATCH(I209,D4:D8,0))),"",INDEX(C4:C8,MATCH(I209,D4:D8,0)))</f>
        <v/>
      </c>
      <c r="AY209" s="79" t="e">
        <f>IF(IF(COUNTIF(AY4:AY208,AY205)&gt;=MAX(D4:D8),AY205+4,AY205)&gt;50,"",IF(COUNTIF(AY4:AY208,AY205)&gt;=MAX(D4:D8),AY205+4,AY205))</f>
        <v>#VALUE!</v>
      </c>
      <c r="AZ209" s="76" t="e">
        <f>IF(AY209="","",VLOOKUP(AY209,S4:U53,3,0))</f>
        <v>#VALUE!</v>
      </c>
      <c r="BA209" s="8" t="str">
        <f t="shared" si="167"/>
        <v/>
      </c>
      <c r="BC209" s="71" t="e">
        <f t="shared" si="168"/>
        <v>#VALUE!</v>
      </c>
      <c r="BD209" s="71" t="str">
        <f>IF(OR(COUNTBLANK(BG209)=1,ISERROR(BG209)),"",COUNT(BG4:BG209))</f>
        <v/>
      </c>
      <c r="BE209" s="7" t="e">
        <f t="shared" si="169"/>
        <v>#VALUE!</v>
      </c>
      <c r="BF209" s="1" t="str">
        <f>IF(ISERROR(INDEX(C4:C8,MATCH(J209,D4:D8,0))),"",INDEX(C4:C8,MATCH(J209,D4:D8,0)))</f>
        <v/>
      </c>
      <c r="BG209" s="79" t="e">
        <f>IF(IF(COUNTIF(BG4:BG208,BG204)&gt;=MAX(D4:D8),BG204+5,BG204)&gt;50,"",IF(COUNTIF(BG4:BG208,BG204)&gt;=MAX(D4:D8),BG204+5,BG204))</f>
        <v>#VALUE!</v>
      </c>
      <c r="BH209" s="76" t="e">
        <f>IF(BG209="","",VLOOKUP(BG209,S4:U53,3,0))</f>
        <v>#VALUE!</v>
      </c>
      <c r="BI209" s="8" t="str">
        <f t="shared" si="170"/>
        <v/>
      </c>
      <c r="BP209" s="71" t="e">
        <f>IF(BT209="","",BT209*10+1)</f>
        <v>#VALUE!</v>
      </c>
      <c r="BQ209" s="71" t="str">
        <f>IF(OR(COUNTBLANK(BT209)=1,ISERROR(BT209)),"",COUNT(BT4:BT209))</f>
        <v/>
      </c>
      <c r="BR209" s="7" t="e">
        <f t="shared" si="172"/>
        <v>#VALUE!</v>
      </c>
      <c r="BS209" s="1" t="str">
        <f t="shared" si="173"/>
        <v/>
      </c>
      <c r="BT209" s="79" t="e">
        <f>IF(IF(COUNTIF($BT$4:BT208,BT208)&gt;=MAX($D$4:$D$8),BT208+1,BT208)&gt;55,"",IF(COUNTIF($BT$4:BT208,BT208)&gt;=MAX($D$4:$D$8),BT208+1,BT208))</f>
        <v>#VALUE!</v>
      </c>
      <c r="BU209" s="1" t="e">
        <f t="shared" si="174"/>
        <v>#VALUE!</v>
      </c>
      <c r="BV209" s="8" t="str">
        <f t="shared" si="175"/>
        <v/>
      </c>
      <c r="BX209" s="71" t="e">
        <f t="shared" si="176"/>
        <v>#VALUE!</v>
      </c>
      <c r="BY209" s="71" t="str">
        <f>IF(OR(COUNTBLANK(CB209)=1,ISERROR(CB209)),"",COUNT($CB$4:CB209))</f>
        <v/>
      </c>
      <c r="BZ209" s="7" t="e">
        <f t="shared" si="177"/>
        <v>#VALUE!</v>
      </c>
      <c r="CA209" s="1" t="str">
        <f t="shared" si="178"/>
        <v/>
      </c>
      <c r="CB209" s="79" t="e">
        <f>IF(IF(COUNTIF($CB$4:CB208,CB207)&gt;=MAX($D$4:$D$8),CB207+2,CB207)&gt;55,"",IF(COUNTIF($CB$4:CB208,CB207)&gt;=MAX($D$4:$D$8),CB207+2,CB207))</f>
        <v>#VALUE!</v>
      </c>
      <c r="CC209" s="1" t="e">
        <f t="shared" si="179"/>
        <v>#VALUE!</v>
      </c>
      <c r="CD209" s="8" t="str">
        <f t="shared" si="180"/>
        <v/>
      </c>
      <c r="CF209" s="71" t="e">
        <f t="shared" si="149"/>
        <v>#VALUE!</v>
      </c>
      <c r="CG209" s="71" t="str">
        <f>IF(OR(COUNTBLANK(CJ209)=1,ISERROR(CJ209)),"",COUNT($CJ$4:CJ209))</f>
        <v/>
      </c>
      <c r="CH209" s="7" t="e">
        <f t="shared" si="150"/>
        <v>#VALUE!</v>
      </c>
      <c r="CI209" s="1" t="str">
        <f t="shared" si="151"/>
        <v/>
      </c>
      <c r="CJ209" s="79" t="e">
        <f>IF(IF(COUNTIF($CJ$4:CJ208,CJ206)&gt;=MAX($D$4:$D$8),CJ206+3,CJ206)&gt;55,"",IF(COUNTIF($CJ$4:CJ208,CJ206)&gt;=MAX($D$4:$D$8),CJ206+3,CJ206))</f>
        <v>#VALUE!</v>
      </c>
      <c r="CK209" s="1" t="e">
        <f t="shared" si="181"/>
        <v>#VALUE!</v>
      </c>
      <c r="CL209" s="8" t="str">
        <f t="shared" si="152"/>
        <v/>
      </c>
      <c r="CN209" s="71" t="e">
        <f t="shared" si="187"/>
        <v>#VALUE!</v>
      </c>
      <c r="CO209" s="71" t="str">
        <f>IF(OR(COUNTBLANK(CR209)=1,ISERROR(CR209)),"",COUNT($CR$4:CR209))</f>
        <v/>
      </c>
      <c r="CP209" s="7" t="e">
        <f t="shared" si="188"/>
        <v>#VALUE!</v>
      </c>
      <c r="CQ209" s="1" t="str">
        <f t="shared" si="189"/>
        <v/>
      </c>
      <c r="CR209" s="79" t="e">
        <f>IF(IF(COUNTIF($CR$4:CR208,CR205)&gt;=MAX($D$4:$D$8),CR205+4,CR205)&gt;55,"",IF(COUNTIF($CR$4:CR208,CR205)&gt;=MAX($D$4:$D$8),CR205+4,CR205))</f>
        <v>#VALUE!</v>
      </c>
      <c r="CS209" s="1" t="e">
        <f t="shared" si="182"/>
        <v>#VALUE!</v>
      </c>
      <c r="CT209" s="8" t="str">
        <f t="shared" si="190"/>
        <v/>
      </c>
      <c r="CV209" s="71" t="e">
        <f t="shared" si="153"/>
        <v>#VALUE!</v>
      </c>
      <c r="CW209" s="71" t="str">
        <f>IF(OR(COUNTBLANK(CZ209)=1,ISERROR(CZ209)),"",COUNT($CZ$4:CZ209))</f>
        <v/>
      </c>
      <c r="CX209" s="7" t="e">
        <f t="shared" si="154"/>
        <v>#VALUE!</v>
      </c>
      <c r="CY209" s="1" t="str">
        <f t="shared" si="155"/>
        <v/>
      </c>
      <c r="CZ209" s="79" t="e">
        <f>IF(IF(COUNTIF($CZ$4:CZ208,CZ204)&gt;=MAX($D$4:$D$8),CZ204+5,CZ204)&gt;55,"",IF(COUNTIF($CZ$4:CZ208,CZ204)&gt;=MAX($D$4:$D$8),CZ204+5,CZ204))</f>
        <v>#VALUE!</v>
      </c>
      <c r="DA209" s="1" t="e">
        <f t="shared" si="183"/>
        <v>#VALUE!</v>
      </c>
      <c r="DB209" s="8" t="str">
        <f t="shared" si="156"/>
        <v/>
      </c>
    </row>
    <row r="210" spans="5:106" x14ac:dyDescent="0.15">
      <c r="E210" s="1">
        <v>207</v>
      </c>
      <c r="F210" s="1">
        <f t="shared" si="184"/>
        <v>1</v>
      </c>
      <c r="G210" s="1">
        <f t="shared" si="191"/>
        <v>1</v>
      </c>
      <c r="H210" s="1">
        <f t="shared" si="185"/>
        <v>1</v>
      </c>
      <c r="I210" s="1">
        <f t="shared" si="186"/>
        <v>1</v>
      </c>
      <c r="J210" s="1">
        <f t="shared" si="192"/>
        <v>1</v>
      </c>
      <c r="L210" s="1" t="str">
        <f>IF(ISERROR(HLOOKUP($C$10,$F$3:$J$253,208,0)),"",HLOOKUP($C$10,$F$3:$J$253,208,0))</f>
        <v/>
      </c>
      <c r="N210" s="67"/>
      <c r="W210" s="71" t="e">
        <f>IF(AA210="","",AA210*10+2)</f>
        <v>#VALUE!</v>
      </c>
      <c r="X210" s="71" t="str">
        <f>IF(OR(COUNTBLANK(AA210)=1,ISERROR(AA210)),"",COUNT(AA4:AA210))</f>
        <v/>
      </c>
      <c r="Y210" s="7" t="e">
        <f t="shared" si="157"/>
        <v>#VALUE!</v>
      </c>
      <c r="Z210" s="1" t="str">
        <f t="shared" si="171"/>
        <v/>
      </c>
      <c r="AA210" s="79" t="e">
        <f>IF(IF(COUNTIF(AA4:AA209,AA209)&gt;=MAX(D4:D8),AA209+1,AA209)&gt;50,"",IF(COUNTIF(AA4:AA209,AA209)&gt;=MAX(D4:D8),AA209+1,AA209))</f>
        <v>#VALUE!</v>
      </c>
      <c r="AB210" s="1" t="e">
        <f>IF(AA210="","",VLOOKUP(AA210,S4:U53,3,0))</f>
        <v>#VALUE!</v>
      </c>
      <c r="AC210" s="8" t="str">
        <f t="shared" si="158"/>
        <v/>
      </c>
      <c r="AE210" s="71" t="e">
        <f t="shared" si="159"/>
        <v>#VALUE!</v>
      </c>
      <c r="AF210" s="71" t="str">
        <f>IF(OR(COUNTBLANK(AI210)=1,ISERROR(AI210)),"",COUNT(AI4:AI210))</f>
        <v/>
      </c>
      <c r="AG210" s="7" t="e">
        <f t="shared" si="160"/>
        <v>#VALUE!</v>
      </c>
      <c r="AH210" s="1" t="str">
        <f>IF(ISERROR(INDEX(C4:C8,MATCH(G210,D4:D8,0))),"",INDEX(C4:C8,MATCH(G210,D4:D8,0)))</f>
        <v/>
      </c>
      <c r="AI210" s="79" t="e">
        <f>IF(IF(COUNTIF(AI4:AI209,AI208)&gt;=MAX(D4:D8),AI208+2,AI208)&gt;50,"",IF(COUNTIF(AI4:AI209,AI208)&gt;=MAX(D4:D8),AI208+2,AI208))</f>
        <v>#VALUE!</v>
      </c>
      <c r="AJ210" s="1" t="e">
        <f>IF(AI210="","",VLOOKUP(AI210,S4:U53,3,0))</f>
        <v>#VALUE!</v>
      </c>
      <c r="AK210" s="8" t="str">
        <f t="shared" si="161"/>
        <v/>
      </c>
      <c r="AM210" s="71" t="e">
        <f t="shared" si="162"/>
        <v>#VALUE!</v>
      </c>
      <c r="AN210" s="71" t="str">
        <f>IF(OR(COUNTBLANK(AQ210)=1,ISERROR(AQ210)),"",COUNT(AQ4:AQ210))</f>
        <v/>
      </c>
      <c r="AO210" s="7" t="e">
        <f t="shared" si="163"/>
        <v>#VALUE!</v>
      </c>
      <c r="AP210" s="1" t="str">
        <f>IF(ISERROR(INDEX(C4:C8,MATCH(H210,D4:D8,0))),"",INDEX(C4:C8,MATCH(H210,D4:D8,0)))</f>
        <v/>
      </c>
      <c r="AQ210" s="79" t="e">
        <f>IF(IF(COUNTIF(AQ4:AQ209,AQ207)&gt;=MAX(D4:D8),AQ207+3,AQ207)&gt;50,"",IF(COUNTIF(AQ4:AQ209,AQ207)&gt;=MAX(D4:D8),AQ207+3,AQ207))</f>
        <v>#VALUE!</v>
      </c>
      <c r="AR210" s="1" t="e">
        <f>IF(AQ210="","",VLOOKUP(AQ210,S4:U53,3,0))</f>
        <v>#VALUE!</v>
      </c>
      <c r="AS210" s="8" t="str">
        <f t="shared" si="164"/>
        <v/>
      </c>
      <c r="AU210" s="71" t="e">
        <f t="shared" si="165"/>
        <v>#VALUE!</v>
      </c>
      <c r="AV210" s="71" t="str">
        <f>IF(OR(COUNTBLANK(AY210)=1,ISERROR(AY210)),"",COUNT(AY4:AY210))</f>
        <v/>
      </c>
      <c r="AW210" s="7" t="e">
        <f t="shared" si="166"/>
        <v>#VALUE!</v>
      </c>
      <c r="AX210" s="1" t="str">
        <f>IF(ISERROR(INDEX(C4:C8,MATCH(I210,D4:D8,0))),"",INDEX(C4:C8,MATCH(I210,D4:D8,0)))</f>
        <v/>
      </c>
      <c r="AY210" s="79" t="e">
        <f>IF(IF(COUNTIF(AY4:AY209,AY206)&gt;=MAX(D4:D8),AY206+4,AY206)&gt;50,"",IF(COUNTIF(AY4:AY209,AY206)&gt;=MAX(D4:D8),AY206+4,AY206))</f>
        <v>#VALUE!</v>
      </c>
      <c r="AZ210" s="76" t="e">
        <f>IF(AY210="","",VLOOKUP(AY210,S4:U53,3,0))</f>
        <v>#VALUE!</v>
      </c>
      <c r="BA210" s="8" t="str">
        <f t="shared" si="167"/>
        <v/>
      </c>
      <c r="BC210" s="71" t="e">
        <f t="shared" si="168"/>
        <v>#VALUE!</v>
      </c>
      <c r="BD210" s="71" t="str">
        <f>IF(OR(COUNTBLANK(BG210)=1,ISERROR(BG210)),"",COUNT(BG4:BG210))</f>
        <v/>
      </c>
      <c r="BE210" s="7" t="e">
        <f t="shared" si="169"/>
        <v>#VALUE!</v>
      </c>
      <c r="BF210" s="1" t="str">
        <f>IF(ISERROR(INDEX(C4:C8,MATCH(J210,D4:D8,0))),"",INDEX(C4:C8,MATCH(J210,D4:D8,0)))</f>
        <v/>
      </c>
      <c r="BG210" s="79" t="e">
        <f>IF(IF(COUNTIF(BG4:BG209,BG205)&gt;=MAX(D4:D8),BG205+5,BG205)&gt;50,"",IF(COUNTIF(BG4:BG209,BG205)&gt;=MAX(D4:D8),BG205+5,BG205))</f>
        <v>#VALUE!</v>
      </c>
      <c r="BH210" s="76" t="e">
        <f>IF(BG210="","",VLOOKUP(BG210,S4:U53,3,0))</f>
        <v>#VALUE!</v>
      </c>
      <c r="BI210" s="8" t="str">
        <f t="shared" si="170"/>
        <v/>
      </c>
      <c r="BP210" s="71" t="e">
        <f>IF(BT210="","",BT210*10+2)</f>
        <v>#VALUE!</v>
      </c>
      <c r="BQ210" s="71" t="str">
        <f>IF(OR(COUNTBLANK(BT210)=1,ISERROR(BT210)),"",COUNT(BT4:BT210))</f>
        <v/>
      </c>
      <c r="BR210" s="7" t="e">
        <f t="shared" si="172"/>
        <v>#VALUE!</v>
      </c>
      <c r="BS210" s="1" t="str">
        <f t="shared" si="173"/>
        <v/>
      </c>
      <c r="BT210" s="79" t="e">
        <f>IF(IF(COUNTIF($BT$4:BT209,BT209)&gt;=MAX($D$4:$D$8),BT209+1,BT209)&gt;55,"",IF(COUNTIF($BT$4:BT209,BT209)&gt;=MAX($D$4:$D$8),BT209+1,BT209))</f>
        <v>#VALUE!</v>
      </c>
      <c r="BU210" s="1" t="e">
        <f t="shared" si="174"/>
        <v>#VALUE!</v>
      </c>
      <c r="BV210" s="8" t="str">
        <f t="shared" si="175"/>
        <v/>
      </c>
      <c r="BX210" s="71" t="e">
        <f t="shared" si="176"/>
        <v>#VALUE!</v>
      </c>
      <c r="BY210" s="71" t="str">
        <f>IF(OR(COUNTBLANK(CB210)=1,ISERROR(CB210)),"",COUNT($CB$4:CB210))</f>
        <v/>
      </c>
      <c r="BZ210" s="7" t="e">
        <f t="shared" si="177"/>
        <v>#VALUE!</v>
      </c>
      <c r="CA210" s="1" t="str">
        <f t="shared" si="178"/>
        <v/>
      </c>
      <c r="CB210" s="79" t="e">
        <f>IF(IF(COUNTIF($CB$4:CB209,CB208)&gt;=MAX($D$4:$D$8),CB208+2,CB208)&gt;55,"",IF(COUNTIF($CB$4:CB209,CB208)&gt;=MAX($D$4:$D$8),CB208+2,CB208))</f>
        <v>#VALUE!</v>
      </c>
      <c r="CC210" s="1" t="e">
        <f t="shared" si="179"/>
        <v>#VALUE!</v>
      </c>
      <c r="CD210" s="8" t="str">
        <f t="shared" si="180"/>
        <v/>
      </c>
      <c r="CF210" s="71" t="e">
        <f t="shared" ref="CF210:CF273" si="193">IF(CJ210="","",CJ210*10+H210)</f>
        <v>#VALUE!</v>
      </c>
      <c r="CG210" s="71" t="str">
        <f>IF(OR(COUNTBLANK(CJ210)=1,ISERROR(CJ210)),"",COUNT($CJ$4:CJ210))</f>
        <v/>
      </c>
      <c r="CH210" s="7" t="e">
        <f t="shared" ref="CH210:CH273" si="194">IF(CJ210&gt;25,"ナビ・","1・2年のWナビ・")</f>
        <v>#VALUE!</v>
      </c>
      <c r="CI210" s="1" t="str">
        <f t="shared" ref="CI210:CI273" si="195">IF(ISERROR(INDEX($C$4:$C$8,MATCH(H210,$D$4:$D$8,0))),"",INDEX($C$4:$C$8,MATCH(H210,$D$4:$D$8,0)))</f>
        <v/>
      </c>
      <c r="CJ210" s="79" t="e">
        <f>IF(IF(COUNTIF($CJ$4:CJ209,CJ207)&gt;=MAX($D$4:$D$8),CJ207+3,CJ207)&gt;55,"",IF(COUNTIF($CJ$4:CJ209,CJ207)&gt;=MAX($D$4:$D$8),CJ207+3,CJ207))</f>
        <v>#VALUE!</v>
      </c>
      <c r="CK210" s="1" t="e">
        <f t="shared" si="181"/>
        <v>#VALUE!</v>
      </c>
      <c r="CL210" s="8" t="str">
        <f t="shared" ref="CL210:CL273" si="196">IF(ISERROR(IF(COUNTIF(CI210:CK210,"")&gt;=1,"",CH210&amp;CI210&amp;"【"&amp;VLOOKUP(CJ210,$BL$4:$BN$58,2,0)&amp;"】"&amp;CK210)),"",IF(COUNTIF(CI210:CK210,"")&gt;=1,"",CH210&amp;CI210&amp;"【"&amp;VLOOKUP(CJ210,$BL$4:$BN$58,2,0)&amp;"】"&amp;CK210))</f>
        <v/>
      </c>
      <c r="CN210" s="71" t="e">
        <f t="shared" si="187"/>
        <v>#VALUE!</v>
      </c>
      <c r="CO210" s="71" t="str">
        <f>IF(OR(COUNTBLANK(CR210)=1,ISERROR(CR210)),"",COUNT($CR$4:CR210))</f>
        <v/>
      </c>
      <c r="CP210" s="7" t="e">
        <f t="shared" si="188"/>
        <v>#VALUE!</v>
      </c>
      <c r="CQ210" s="1" t="str">
        <f t="shared" si="189"/>
        <v/>
      </c>
      <c r="CR210" s="79" t="e">
        <f>IF(IF(COUNTIF($CR$4:CR209,CR206)&gt;=MAX($D$4:$D$8),CR206+4,CR206)&gt;55,"",IF(COUNTIF($CR$4:CR209,CR206)&gt;=MAX($D$4:$D$8),CR206+4,CR206))</f>
        <v>#VALUE!</v>
      </c>
      <c r="CS210" s="1" t="e">
        <f t="shared" si="182"/>
        <v>#VALUE!</v>
      </c>
      <c r="CT210" s="8" t="str">
        <f t="shared" si="190"/>
        <v/>
      </c>
      <c r="CV210" s="71" t="e">
        <f t="shared" si="153"/>
        <v>#VALUE!</v>
      </c>
      <c r="CW210" s="71" t="str">
        <f>IF(OR(COUNTBLANK(CZ210)=1,ISERROR(CZ210)),"",COUNT($CZ$4:CZ210))</f>
        <v/>
      </c>
      <c r="CX210" s="7" t="e">
        <f t="shared" si="154"/>
        <v>#VALUE!</v>
      </c>
      <c r="CY210" s="1" t="str">
        <f t="shared" si="155"/>
        <v/>
      </c>
      <c r="CZ210" s="79" t="e">
        <f>IF(IF(COUNTIF($CZ$4:CZ209,CZ205)&gt;=MAX($D$4:$D$8),CZ205+5,CZ205)&gt;55,"",IF(COUNTIF($CZ$4:CZ209,CZ205)&gt;=MAX($D$4:$D$8),CZ205+5,CZ205))</f>
        <v>#VALUE!</v>
      </c>
      <c r="DA210" s="1" t="e">
        <f t="shared" si="183"/>
        <v>#VALUE!</v>
      </c>
      <c r="DB210" s="8" t="str">
        <f t="shared" si="156"/>
        <v/>
      </c>
    </row>
    <row r="211" spans="5:106" x14ac:dyDescent="0.15">
      <c r="E211" s="1">
        <v>208</v>
      </c>
      <c r="F211" s="1">
        <f t="shared" si="184"/>
        <v>1</v>
      </c>
      <c r="G211" s="1">
        <f t="shared" si="191"/>
        <v>1</v>
      </c>
      <c r="H211" s="1">
        <f t="shared" si="185"/>
        <v>1</v>
      </c>
      <c r="I211" s="1">
        <f t="shared" si="186"/>
        <v>1</v>
      </c>
      <c r="J211" s="1">
        <f t="shared" si="192"/>
        <v>1</v>
      </c>
      <c r="L211" s="1" t="str">
        <f>IF(ISERROR(HLOOKUP($C$10,$F$3:$J$253,209,0)),"",HLOOKUP($C$10,$F$3:$J$253,209,0))</f>
        <v/>
      </c>
      <c r="N211" s="67"/>
      <c r="W211" s="71" t="e">
        <f>IF(AA211="","",AA211*10+3)</f>
        <v>#VALUE!</v>
      </c>
      <c r="X211" s="71" t="str">
        <f>IF(OR(COUNTBLANK(AA211)=1,ISERROR(AA211)),"",COUNT(AA4:AA211))</f>
        <v/>
      </c>
      <c r="Y211" s="7" t="e">
        <f t="shared" si="157"/>
        <v>#VALUE!</v>
      </c>
      <c r="Z211" s="1" t="str">
        <f t="shared" si="171"/>
        <v/>
      </c>
      <c r="AA211" s="79" t="e">
        <f>IF(IF(COUNTIF(AA4:AA210,AA210)&gt;=MAX(D4:D8),AA210+1,AA210)&gt;50,"",IF(COUNTIF(AA4:AA210,AA210)&gt;=MAX(D4:D8),AA210+1,AA210))</f>
        <v>#VALUE!</v>
      </c>
      <c r="AB211" s="1" t="e">
        <f>IF(AA211="","",VLOOKUP(AA211,S4:U53,3,0))</f>
        <v>#VALUE!</v>
      </c>
      <c r="AC211" s="8" t="str">
        <f t="shared" si="158"/>
        <v/>
      </c>
      <c r="AE211" s="71" t="e">
        <f t="shared" si="159"/>
        <v>#VALUE!</v>
      </c>
      <c r="AF211" s="71" t="str">
        <f>IF(OR(COUNTBLANK(AI211)=1,ISERROR(AI211)),"",COUNT(AI4:AI211))</f>
        <v/>
      </c>
      <c r="AG211" s="7" t="e">
        <f t="shared" si="160"/>
        <v>#VALUE!</v>
      </c>
      <c r="AH211" s="1" t="str">
        <f>IF(ISERROR(INDEX(C4:C8,MATCH(G211,D4:D8,0))),"",INDEX(C4:C8,MATCH(G211,D4:D8,0)))</f>
        <v/>
      </c>
      <c r="AI211" s="79" t="e">
        <f>IF(IF(COUNTIF(AI4:AI209,AI209)&gt;=MAX(D4:D8),AI209+2,AI209)&gt;50,"",IF(COUNTIF(AI4:AI209,AI209)&gt;=MAX(D4:D8),AI209+2,AI209))</f>
        <v>#VALUE!</v>
      </c>
      <c r="AJ211" s="1" t="e">
        <f>IF(AI211="","",VLOOKUP(AI211,S4:U53,3,0))</f>
        <v>#VALUE!</v>
      </c>
      <c r="AK211" s="8" t="str">
        <f t="shared" si="161"/>
        <v/>
      </c>
      <c r="AM211" s="71" t="e">
        <f t="shared" si="162"/>
        <v>#VALUE!</v>
      </c>
      <c r="AN211" s="71" t="str">
        <f>IF(OR(COUNTBLANK(AQ211)=1,ISERROR(AQ211)),"",COUNT(AQ4:AQ211))</f>
        <v/>
      </c>
      <c r="AO211" s="7" t="e">
        <f t="shared" si="163"/>
        <v>#VALUE!</v>
      </c>
      <c r="AP211" s="1" t="str">
        <f>IF(ISERROR(INDEX(C4:C8,MATCH(H211,D4:D8,0))),"",INDEX(C4:C8,MATCH(H211,D4:D8,0)))</f>
        <v/>
      </c>
      <c r="AQ211" s="79" t="e">
        <f>IF(IF(COUNTIF(AQ4:AQ210,AQ208)&gt;=MAX(D4:D8),AQ208+3,AQ208)&gt;50,"",IF(COUNTIF(AQ4:AQ210,AQ208)&gt;=MAX(D4:D8),AQ208+3,AQ208))</f>
        <v>#VALUE!</v>
      </c>
      <c r="AR211" s="1" t="e">
        <f>IF(AQ211="","",VLOOKUP(AQ211,S4:U53,3,0))</f>
        <v>#VALUE!</v>
      </c>
      <c r="AS211" s="8" t="str">
        <f t="shared" si="164"/>
        <v/>
      </c>
      <c r="AU211" s="71" t="e">
        <f t="shared" si="165"/>
        <v>#VALUE!</v>
      </c>
      <c r="AV211" s="71" t="str">
        <f>IF(OR(COUNTBLANK(AY211)=1,ISERROR(AY211)),"",COUNT(AY4:AY211))</f>
        <v/>
      </c>
      <c r="AW211" s="7" t="e">
        <f t="shared" si="166"/>
        <v>#VALUE!</v>
      </c>
      <c r="AX211" s="1" t="str">
        <f>IF(ISERROR(INDEX(C4:C8,MATCH(I211,D4:D8,0))),"",INDEX(C4:C8,MATCH(I211,D4:D8,0)))</f>
        <v/>
      </c>
      <c r="AY211" s="79" t="e">
        <f>IF(IF(COUNTIF(AY4:AY210,AY207)&gt;=MAX(D4:D8),AY207+4,AY207)&gt;50,"",IF(COUNTIF(AY4:AY210,AY207)&gt;=MAX(D4:D8),AY207+4,AY207))</f>
        <v>#VALUE!</v>
      </c>
      <c r="AZ211" s="76" t="e">
        <f>IF(AY211="","",VLOOKUP(AY211,S4:U53,3,0))</f>
        <v>#VALUE!</v>
      </c>
      <c r="BA211" s="8" t="str">
        <f t="shared" si="167"/>
        <v/>
      </c>
      <c r="BC211" s="71" t="e">
        <f t="shared" si="168"/>
        <v>#VALUE!</v>
      </c>
      <c r="BD211" s="71" t="str">
        <f>IF(OR(COUNTBLANK(BG211)=1,ISERROR(BG211)),"",COUNT(BG4:BG211))</f>
        <v/>
      </c>
      <c r="BE211" s="7" t="e">
        <f t="shared" si="169"/>
        <v>#VALUE!</v>
      </c>
      <c r="BF211" s="1" t="str">
        <f>IF(ISERROR(INDEX(C4:C8,MATCH(J211,D4:D8,0))),"",INDEX(C4:C8,MATCH(J211,D4:D8,0)))</f>
        <v/>
      </c>
      <c r="BG211" s="79" t="e">
        <f>IF(IF(COUNTIF(BG4:BG210,BG206)&gt;=MAX(D4:D8),BG206+5,BG206)&gt;50,"",IF(COUNTIF(BG4:BG210,BG206)&gt;=MAX(D4:D8),BG206+5,BG206))</f>
        <v>#VALUE!</v>
      </c>
      <c r="BH211" s="76" t="e">
        <f>IF(BG211="","",VLOOKUP(BG211,S4:U53,3,0))</f>
        <v>#VALUE!</v>
      </c>
      <c r="BI211" s="8" t="str">
        <f t="shared" si="170"/>
        <v/>
      </c>
      <c r="BP211" s="71" t="e">
        <f>IF(BT211="","",BT211*10+3)</f>
        <v>#VALUE!</v>
      </c>
      <c r="BQ211" s="71" t="str">
        <f>IF(OR(COUNTBLANK(BT211)=1,ISERROR(BT211)),"",COUNT(BT4:BT211))</f>
        <v/>
      </c>
      <c r="BR211" s="7" t="e">
        <f t="shared" si="172"/>
        <v>#VALUE!</v>
      </c>
      <c r="BS211" s="1" t="str">
        <f t="shared" si="173"/>
        <v/>
      </c>
      <c r="BT211" s="79" t="e">
        <f>IF(IF(COUNTIF($BT$4:BT210,BT210)&gt;=MAX($D$4:$D$8),BT210+1,BT210)&gt;55,"",IF(COUNTIF($BT$4:BT210,BT210)&gt;=MAX($D$4:$D$8),BT210+1,BT210))</f>
        <v>#VALUE!</v>
      </c>
      <c r="BU211" s="1" t="e">
        <f t="shared" si="174"/>
        <v>#VALUE!</v>
      </c>
      <c r="BV211" s="8" t="str">
        <f t="shared" si="175"/>
        <v/>
      </c>
      <c r="BX211" s="71" t="e">
        <f t="shared" si="176"/>
        <v>#VALUE!</v>
      </c>
      <c r="BY211" s="71" t="str">
        <f>IF(OR(COUNTBLANK(CB211)=1,ISERROR(CB211)),"",COUNT($CB$4:CB211))</f>
        <v/>
      </c>
      <c r="BZ211" s="7" t="e">
        <f t="shared" si="177"/>
        <v>#VALUE!</v>
      </c>
      <c r="CA211" s="1" t="str">
        <f t="shared" si="178"/>
        <v/>
      </c>
      <c r="CB211" s="79" t="e">
        <f>IF(IF(COUNTIF($CB$4:CB210,CB209)&gt;=MAX($D$4:$D$8),CB209+2,CB209)&gt;55,"",IF(COUNTIF($CB$4:CB210,CB209)&gt;=MAX($D$4:$D$8),CB209+2,CB209))</f>
        <v>#VALUE!</v>
      </c>
      <c r="CC211" s="1" t="e">
        <f t="shared" si="179"/>
        <v>#VALUE!</v>
      </c>
      <c r="CD211" s="8" t="str">
        <f t="shared" si="180"/>
        <v/>
      </c>
      <c r="CF211" s="71" t="e">
        <f t="shared" si="193"/>
        <v>#VALUE!</v>
      </c>
      <c r="CG211" s="71" t="str">
        <f>IF(OR(COUNTBLANK(CJ211)=1,ISERROR(CJ211)),"",COUNT($CJ$4:CJ211))</f>
        <v/>
      </c>
      <c r="CH211" s="7" t="e">
        <f t="shared" si="194"/>
        <v>#VALUE!</v>
      </c>
      <c r="CI211" s="1" t="str">
        <f t="shared" si="195"/>
        <v/>
      </c>
      <c r="CJ211" s="79" t="e">
        <f>IF(IF(COUNTIF($CJ$4:CJ210,CJ208)&gt;=MAX($D$4:$D$8),CJ208+3,CJ208)&gt;55,"",IF(COUNTIF($CJ$4:CJ210,CJ208)&gt;=MAX($D$4:$D$8),CJ208+3,CJ208))</f>
        <v>#VALUE!</v>
      </c>
      <c r="CK211" s="1" t="e">
        <f t="shared" si="181"/>
        <v>#VALUE!</v>
      </c>
      <c r="CL211" s="8" t="str">
        <f t="shared" si="196"/>
        <v/>
      </c>
      <c r="CN211" s="71" t="e">
        <f t="shared" si="187"/>
        <v>#VALUE!</v>
      </c>
      <c r="CO211" s="71" t="str">
        <f>IF(OR(COUNTBLANK(CR211)=1,ISERROR(CR211)),"",COUNT($CR$4:CR211))</f>
        <v/>
      </c>
      <c r="CP211" s="7" t="e">
        <f t="shared" si="188"/>
        <v>#VALUE!</v>
      </c>
      <c r="CQ211" s="1" t="str">
        <f t="shared" si="189"/>
        <v/>
      </c>
      <c r="CR211" s="79" t="e">
        <f>IF(IF(COUNTIF($CR$4:CR210,CR207)&gt;=MAX($D$4:$D$8),CR207+4,CR207)&gt;55,"",IF(COUNTIF($CR$4:CR210,CR207)&gt;=MAX($D$4:$D$8),CR207+4,CR207))</f>
        <v>#VALUE!</v>
      </c>
      <c r="CS211" s="1" t="e">
        <f t="shared" si="182"/>
        <v>#VALUE!</v>
      </c>
      <c r="CT211" s="8" t="str">
        <f t="shared" si="190"/>
        <v/>
      </c>
      <c r="CV211" s="71" t="e">
        <f t="shared" si="153"/>
        <v>#VALUE!</v>
      </c>
      <c r="CW211" s="71" t="str">
        <f>IF(OR(COUNTBLANK(CZ211)=1,ISERROR(CZ211)),"",COUNT($CZ$4:CZ211))</f>
        <v/>
      </c>
      <c r="CX211" s="7" t="e">
        <f t="shared" si="154"/>
        <v>#VALUE!</v>
      </c>
      <c r="CY211" s="1" t="str">
        <f t="shared" si="155"/>
        <v/>
      </c>
      <c r="CZ211" s="79" t="e">
        <f>IF(IF(COUNTIF($CZ$4:CZ210,CZ206)&gt;=MAX($D$4:$D$8),CZ206+5,CZ206)&gt;55,"",IF(COUNTIF($CZ$4:CZ210,CZ206)&gt;=MAX($D$4:$D$8),CZ206+5,CZ206))</f>
        <v>#VALUE!</v>
      </c>
      <c r="DA211" s="1" t="e">
        <f t="shared" si="183"/>
        <v>#VALUE!</v>
      </c>
      <c r="DB211" s="8" t="str">
        <f t="shared" si="156"/>
        <v/>
      </c>
    </row>
    <row r="212" spans="5:106" x14ac:dyDescent="0.15">
      <c r="E212" s="1">
        <v>209</v>
      </c>
      <c r="F212" s="1">
        <f t="shared" si="184"/>
        <v>1</v>
      </c>
      <c r="G212" s="1">
        <f t="shared" si="191"/>
        <v>1</v>
      </c>
      <c r="H212" s="1">
        <f t="shared" si="185"/>
        <v>1</v>
      </c>
      <c r="I212" s="1">
        <f t="shared" si="186"/>
        <v>1</v>
      </c>
      <c r="J212" s="1">
        <f t="shared" si="192"/>
        <v>1</v>
      </c>
      <c r="L212" s="1" t="str">
        <f>IF(ISERROR(HLOOKUP($C$10,$F$3:$J$253,210,0)),"",HLOOKUP($C$10,$F$3:$J$253,210,0))</f>
        <v/>
      </c>
      <c r="N212" s="67"/>
      <c r="W212" s="71" t="e">
        <f>IF(AA212="","",AA212*10+4)</f>
        <v>#VALUE!</v>
      </c>
      <c r="X212" s="71" t="str">
        <f>IF(OR(COUNTBLANK(AA212)=1,ISERROR(AA212)),"",COUNT(AA4:AA212))</f>
        <v/>
      </c>
      <c r="Y212" s="7" t="e">
        <f t="shared" si="157"/>
        <v>#VALUE!</v>
      </c>
      <c r="Z212" s="1" t="str">
        <f t="shared" si="171"/>
        <v/>
      </c>
      <c r="AA212" s="79" t="e">
        <f>IF(IF(COUNTIF(AA4:AA211,AA211)&gt;=MAX(D4:D8),AA211+1,AA211)&gt;50,"",IF(COUNTIF(AA4:AA211,AA211)&gt;=MAX(D4:D8),AA211+1,AA211))</f>
        <v>#VALUE!</v>
      </c>
      <c r="AB212" s="1" t="e">
        <f>IF(AA212="","",VLOOKUP(AA212,S4:U53,3,0))</f>
        <v>#VALUE!</v>
      </c>
      <c r="AC212" s="8" t="str">
        <f t="shared" si="158"/>
        <v/>
      </c>
      <c r="AE212" s="71" t="e">
        <f t="shared" si="159"/>
        <v>#VALUE!</v>
      </c>
      <c r="AF212" s="71" t="str">
        <f>IF(OR(COUNTBLANK(AI212)=1,ISERROR(AI212)),"",COUNT(AI4:AI212))</f>
        <v/>
      </c>
      <c r="AG212" s="7" t="e">
        <f t="shared" si="160"/>
        <v>#VALUE!</v>
      </c>
      <c r="AH212" s="1" t="str">
        <f>IF(ISERROR(INDEX(C4:C8,MATCH(G212,D4:D8,0))),"",INDEX(C4:C8,MATCH(G212,D4:D8,0)))</f>
        <v/>
      </c>
      <c r="AI212" s="79" t="e">
        <f>IF(IF(COUNTIF(AI4:AI211,AI210)&gt;=MAX(D4:D8),AI210+2,AI210)&gt;50,"",IF(COUNTIF(AI4:AI211,AI210)&gt;=MAX(D4:D8),AI210+2,AI210))</f>
        <v>#VALUE!</v>
      </c>
      <c r="AJ212" s="1" t="e">
        <f>IF(AI212="","",VLOOKUP(AI212,S4:U53,3,0))</f>
        <v>#VALUE!</v>
      </c>
      <c r="AK212" s="8" t="str">
        <f t="shared" si="161"/>
        <v/>
      </c>
      <c r="AM212" s="71" t="e">
        <f t="shared" si="162"/>
        <v>#VALUE!</v>
      </c>
      <c r="AN212" s="71" t="str">
        <f>IF(OR(COUNTBLANK(AQ212)=1,ISERROR(AQ212)),"",COUNT(AQ4:AQ212))</f>
        <v/>
      </c>
      <c r="AO212" s="7" t="e">
        <f t="shared" si="163"/>
        <v>#VALUE!</v>
      </c>
      <c r="AP212" s="1" t="str">
        <f>IF(ISERROR(INDEX(C4:C8,MATCH(H212,D4:D8,0))),"",INDEX(C4:C8,MATCH(H212,D4:D8,0)))</f>
        <v/>
      </c>
      <c r="AQ212" s="79" t="e">
        <f>IF(IF(COUNTIF(AQ4:AQ211,AQ209)&gt;=MAX(D4:D8),AQ209+3,AQ209)&gt;50,"",IF(COUNTIF(AQ4:AQ211,AQ209)&gt;=MAX(D4:D8),AQ209+3,AQ209))</f>
        <v>#VALUE!</v>
      </c>
      <c r="AR212" s="1" t="e">
        <f>IF(AQ212="","",VLOOKUP(AQ212,S4:U53,3,0))</f>
        <v>#VALUE!</v>
      </c>
      <c r="AS212" s="8" t="str">
        <f t="shared" si="164"/>
        <v/>
      </c>
      <c r="AU212" s="71" t="e">
        <f t="shared" si="165"/>
        <v>#VALUE!</v>
      </c>
      <c r="AV212" s="71" t="str">
        <f>IF(OR(COUNTBLANK(AY212)=1,ISERROR(AY212)),"",COUNT(AY4:AY212))</f>
        <v/>
      </c>
      <c r="AW212" s="7" t="e">
        <f t="shared" si="166"/>
        <v>#VALUE!</v>
      </c>
      <c r="AX212" s="1" t="str">
        <f>IF(ISERROR(INDEX(C4:C8,MATCH(I212,D4:D8,0))),"",INDEX(C4:C8,MATCH(I212,D4:D8,0)))</f>
        <v/>
      </c>
      <c r="AY212" s="79" t="e">
        <f>IF(IF(COUNTIF(AY4:AY211,AY208)&gt;=MAX(D4:D8),AY208+4,AY208)&gt;50,"",IF(COUNTIF(AY4:AY211,AY208)&gt;=MAX(D4:D8),AY208+4,AY208))</f>
        <v>#VALUE!</v>
      </c>
      <c r="AZ212" s="76" t="e">
        <f>IF(AY212="","",VLOOKUP(AY212,S4:U53,3,0))</f>
        <v>#VALUE!</v>
      </c>
      <c r="BA212" s="8" t="str">
        <f t="shared" si="167"/>
        <v/>
      </c>
      <c r="BC212" s="71" t="e">
        <f t="shared" si="168"/>
        <v>#VALUE!</v>
      </c>
      <c r="BD212" s="71" t="str">
        <f>IF(OR(COUNTBLANK(BG212)=1,ISERROR(BG212)),"",COUNT(BG4:BG212))</f>
        <v/>
      </c>
      <c r="BE212" s="7" t="e">
        <f t="shared" si="169"/>
        <v>#VALUE!</v>
      </c>
      <c r="BF212" s="1" t="str">
        <f>IF(ISERROR(INDEX(C4:C8,MATCH(J212,D4:D8,0))),"",INDEX(C4:C8,MATCH(J212,D4:D8,0)))</f>
        <v/>
      </c>
      <c r="BG212" s="79" t="e">
        <f>IF(IF(COUNTIF(BG4:BG211,BG207)&gt;=MAX(D4:D8),BG207+5,BG207)&gt;50,"",IF(COUNTIF(BG4:BG211,BG207)&gt;=MAX(D4:D8),BG207+5,BG207))</f>
        <v>#VALUE!</v>
      </c>
      <c r="BH212" s="76" t="e">
        <f>IF(BG212="","",VLOOKUP(BG212,S4:U53,3,0))</f>
        <v>#VALUE!</v>
      </c>
      <c r="BI212" s="8" t="str">
        <f t="shared" si="170"/>
        <v/>
      </c>
      <c r="BP212" s="71" t="e">
        <f>IF(BT212="","",BT212*10+4)</f>
        <v>#VALUE!</v>
      </c>
      <c r="BQ212" s="71" t="str">
        <f>IF(OR(COUNTBLANK(BT212)=1,ISERROR(BT212)),"",COUNT(BT4:BT212))</f>
        <v/>
      </c>
      <c r="BR212" s="7" t="e">
        <f t="shared" si="172"/>
        <v>#VALUE!</v>
      </c>
      <c r="BS212" s="1" t="str">
        <f t="shared" si="173"/>
        <v/>
      </c>
      <c r="BT212" s="79" t="e">
        <f>IF(IF(COUNTIF($BT$4:BT211,BT211)&gt;=MAX($D$4:$D$8),BT211+1,BT211)&gt;55,"",IF(COUNTIF($BT$4:BT211,BT211)&gt;=MAX($D$4:$D$8),BT211+1,BT211))</f>
        <v>#VALUE!</v>
      </c>
      <c r="BU212" s="1" t="e">
        <f t="shared" si="174"/>
        <v>#VALUE!</v>
      </c>
      <c r="BV212" s="8" t="str">
        <f t="shared" si="175"/>
        <v/>
      </c>
      <c r="BX212" s="71" t="e">
        <f t="shared" si="176"/>
        <v>#VALUE!</v>
      </c>
      <c r="BY212" s="71" t="str">
        <f>IF(OR(COUNTBLANK(CB212)=1,ISERROR(CB212)),"",COUNT($CB$4:CB212))</f>
        <v/>
      </c>
      <c r="BZ212" s="7" t="e">
        <f t="shared" si="177"/>
        <v>#VALUE!</v>
      </c>
      <c r="CA212" s="1" t="str">
        <f t="shared" si="178"/>
        <v/>
      </c>
      <c r="CB212" s="79" t="e">
        <f>IF(IF(COUNTIF($CB$4:CB211,CB210)&gt;=MAX($D$4:$D$8),CB210+2,CB210)&gt;55,"",IF(COUNTIF($CB$4:CB211,CB210)&gt;=MAX($D$4:$D$8),CB210+2,CB210))</f>
        <v>#VALUE!</v>
      </c>
      <c r="CC212" s="1" t="e">
        <f t="shared" si="179"/>
        <v>#VALUE!</v>
      </c>
      <c r="CD212" s="8" t="str">
        <f t="shared" si="180"/>
        <v/>
      </c>
      <c r="CF212" s="71" t="e">
        <f t="shared" si="193"/>
        <v>#VALUE!</v>
      </c>
      <c r="CG212" s="71" t="str">
        <f>IF(OR(COUNTBLANK(CJ212)=1,ISERROR(CJ212)),"",COUNT($CJ$4:CJ212))</f>
        <v/>
      </c>
      <c r="CH212" s="7" t="e">
        <f t="shared" si="194"/>
        <v>#VALUE!</v>
      </c>
      <c r="CI212" s="1" t="str">
        <f t="shared" si="195"/>
        <v/>
      </c>
      <c r="CJ212" s="79" t="e">
        <f>IF(IF(COUNTIF($CJ$4:CJ211,CJ209)&gt;=MAX($D$4:$D$8),CJ209+3,CJ209)&gt;55,"",IF(COUNTIF($CJ$4:CJ211,CJ209)&gt;=MAX($D$4:$D$8),CJ209+3,CJ209))</f>
        <v>#VALUE!</v>
      </c>
      <c r="CK212" s="1" t="e">
        <f t="shared" si="181"/>
        <v>#VALUE!</v>
      </c>
      <c r="CL212" s="8" t="str">
        <f t="shared" si="196"/>
        <v/>
      </c>
      <c r="CN212" s="71" t="e">
        <f t="shared" si="187"/>
        <v>#VALUE!</v>
      </c>
      <c r="CO212" s="71" t="str">
        <f>IF(OR(COUNTBLANK(CR212)=1,ISERROR(CR212)),"",COUNT($CR$4:CR212))</f>
        <v/>
      </c>
      <c r="CP212" s="7" t="e">
        <f t="shared" si="188"/>
        <v>#VALUE!</v>
      </c>
      <c r="CQ212" s="1" t="str">
        <f t="shared" si="189"/>
        <v/>
      </c>
      <c r="CR212" s="79" t="e">
        <f>IF(IF(COUNTIF($CR$4:CR211,CR208)&gt;=MAX($D$4:$D$8),CR208+4,CR208)&gt;55,"",IF(COUNTIF($CR$4:CR211,CR208)&gt;=MAX($D$4:$D$8),CR208+4,CR208))</f>
        <v>#VALUE!</v>
      </c>
      <c r="CS212" s="1" t="e">
        <f t="shared" si="182"/>
        <v>#VALUE!</v>
      </c>
      <c r="CT212" s="8" t="str">
        <f t="shared" si="190"/>
        <v/>
      </c>
      <c r="CV212" s="71" t="e">
        <f t="shared" si="153"/>
        <v>#VALUE!</v>
      </c>
      <c r="CW212" s="71" t="str">
        <f>IF(OR(COUNTBLANK(CZ212)=1,ISERROR(CZ212)),"",COUNT($CZ$4:CZ212))</f>
        <v/>
      </c>
      <c r="CX212" s="7" t="e">
        <f t="shared" si="154"/>
        <v>#VALUE!</v>
      </c>
      <c r="CY212" s="1" t="str">
        <f t="shared" si="155"/>
        <v/>
      </c>
      <c r="CZ212" s="79" t="e">
        <f>IF(IF(COUNTIF($CZ$4:CZ211,CZ207)&gt;=MAX($D$4:$D$8),CZ207+5,CZ207)&gt;55,"",IF(COUNTIF($CZ$4:CZ211,CZ207)&gt;=MAX($D$4:$D$8),CZ207+5,CZ207))</f>
        <v>#VALUE!</v>
      </c>
      <c r="DA212" s="1" t="e">
        <f t="shared" si="183"/>
        <v>#VALUE!</v>
      </c>
      <c r="DB212" s="8" t="str">
        <f t="shared" si="156"/>
        <v/>
      </c>
    </row>
    <row r="213" spans="5:106" x14ac:dyDescent="0.15">
      <c r="E213" s="1">
        <v>210</v>
      </c>
      <c r="F213" s="1">
        <f t="shared" si="184"/>
        <v>1</v>
      </c>
      <c r="G213" s="1">
        <f t="shared" si="191"/>
        <v>1</v>
      </c>
      <c r="H213" s="1">
        <f t="shared" si="185"/>
        <v>1</v>
      </c>
      <c r="I213" s="1">
        <f t="shared" si="186"/>
        <v>1</v>
      </c>
      <c r="J213" s="1">
        <f t="shared" si="192"/>
        <v>1</v>
      </c>
      <c r="L213" s="1" t="str">
        <f>IF(ISERROR(HLOOKUP($C$10,$F$3:$J$253,211,0)),"",HLOOKUP($C$10,$F$3:$J$253,211,0))</f>
        <v/>
      </c>
      <c r="N213" s="67"/>
      <c r="W213" s="71" t="e">
        <f>IF(AA213="","",AA213*10+5)</f>
        <v>#VALUE!</v>
      </c>
      <c r="X213" s="71" t="str">
        <f>IF(OR(COUNTBLANK(AA213)=1,ISERROR(AA213)),"",COUNT(AA4:AA213))</f>
        <v/>
      </c>
      <c r="Y213" s="7" t="e">
        <f t="shared" si="157"/>
        <v>#VALUE!</v>
      </c>
      <c r="Z213" s="1" t="str">
        <f t="shared" si="171"/>
        <v/>
      </c>
      <c r="AA213" s="79" t="e">
        <f>IF(IF(COUNTIF(AA4:AA212,AA212)&gt;=MAX(D4:D8),AA212+1,AA212)&gt;50,"",IF(COUNTIF(AA4:AA212,AA212)&gt;=MAX(D4:D8),AA212+1,AA212))</f>
        <v>#VALUE!</v>
      </c>
      <c r="AB213" s="1" t="e">
        <f>IF(AA213="","",VLOOKUP(AA213,S4:U53,3,0))</f>
        <v>#VALUE!</v>
      </c>
      <c r="AC213" s="8" t="str">
        <f t="shared" si="158"/>
        <v/>
      </c>
      <c r="AE213" s="71" t="e">
        <f t="shared" si="159"/>
        <v>#VALUE!</v>
      </c>
      <c r="AF213" s="71" t="str">
        <f>IF(OR(COUNTBLANK(AI213)=1,ISERROR(AI213)),"",COUNT(AI4:AI213))</f>
        <v/>
      </c>
      <c r="AG213" s="7" t="e">
        <f t="shared" si="160"/>
        <v>#VALUE!</v>
      </c>
      <c r="AH213" s="1" t="str">
        <f>IF(ISERROR(INDEX(C4:C8,MATCH(G213,D4:D8,0))),"",INDEX(C4:C8,MATCH(G213,D4:D8,0)))</f>
        <v/>
      </c>
      <c r="AI213" s="79" t="e">
        <f>IF(IF(COUNTIF(AI4:AI211,AI211)&gt;=MAX(D4:D8),AI211+2,AI211)&gt;50,"",IF(COUNTIF(AI4:AI211,AI211)&gt;=MAX(D4:D8),AI211+2,AI211))</f>
        <v>#VALUE!</v>
      </c>
      <c r="AJ213" s="1" t="e">
        <f>IF(AI213="","",VLOOKUP(AI213,S4:U53,3,0))</f>
        <v>#VALUE!</v>
      </c>
      <c r="AK213" s="8" t="str">
        <f t="shared" si="161"/>
        <v/>
      </c>
      <c r="AM213" s="71" t="e">
        <f t="shared" si="162"/>
        <v>#VALUE!</v>
      </c>
      <c r="AN213" s="71" t="str">
        <f>IF(OR(COUNTBLANK(AQ213)=1,ISERROR(AQ213)),"",COUNT(AQ4:AQ213))</f>
        <v/>
      </c>
      <c r="AO213" s="7" t="e">
        <f t="shared" si="163"/>
        <v>#VALUE!</v>
      </c>
      <c r="AP213" s="1" t="str">
        <f>IF(ISERROR(INDEX(C4:C8,MATCH(H213,D4:D8,0))),"",INDEX(C4:C8,MATCH(H213,D4:D8,0)))</f>
        <v/>
      </c>
      <c r="AQ213" s="79" t="e">
        <f>IF(IF(COUNTIF(AQ4:AQ212,AQ210)&gt;=MAX(D4:D8),AQ210+3,AQ210)&gt;50,"",IF(COUNTIF(AQ4:AQ212,AQ210)&gt;=MAX(D4:D8),AQ210+3,AQ210))</f>
        <v>#VALUE!</v>
      </c>
      <c r="AR213" s="1" t="e">
        <f>IF(AQ213="","",VLOOKUP(AQ213,S4:U53,3,0))</f>
        <v>#VALUE!</v>
      </c>
      <c r="AS213" s="8" t="str">
        <f t="shared" si="164"/>
        <v/>
      </c>
      <c r="AU213" s="71" t="e">
        <f t="shared" si="165"/>
        <v>#VALUE!</v>
      </c>
      <c r="AV213" s="71" t="str">
        <f>IF(OR(COUNTBLANK(AY213)=1,ISERROR(AY213)),"",COUNT(AY4:AY213))</f>
        <v/>
      </c>
      <c r="AW213" s="7" t="e">
        <f t="shared" si="166"/>
        <v>#VALUE!</v>
      </c>
      <c r="AX213" s="1" t="str">
        <f>IF(ISERROR(INDEX(C4:C8,MATCH(I213,D4:D8,0))),"",INDEX(C4:C8,MATCH(I213,D4:D8,0)))</f>
        <v/>
      </c>
      <c r="AY213" s="79" t="e">
        <f>IF(IF(COUNTIF(AY4:AY212,AY209)&gt;=MAX(D4:D8),AY209+4,AY209)&gt;50,"",IF(COUNTIF(AY4:AY212,AY209)&gt;=MAX(D4:D8),AY209+4,AY209))</f>
        <v>#VALUE!</v>
      </c>
      <c r="AZ213" s="76" t="e">
        <f>IF(AY213="","",VLOOKUP(AY213,S4:U53,3,0))</f>
        <v>#VALUE!</v>
      </c>
      <c r="BA213" s="8" t="str">
        <f t="shared" si="167"/>
        <v/>
      </c>
      <c r="BC213" s="71" t="e">
        <f t="shared" si="168"/>
        <v>#VALUE!</v>
      </c>
      <c r="BD213" s="71" t="str">
        <f>IF(OR(COUNTBLANK(BG213)=1,ISERROR(BG213)),"",COUNT(BG4:BG213))</f>
        <v/>
      </c>
      <c r="BE213" s="7" t="e">
        <f t="shared" si="169"/>
        <v>#VALUE!</v>
      </c>
      <c r="BF213" s="1" t="str">
        <f>IF(ISERROR(INDEX(C4:C8,MATCH(J213,D4:D8,0))),"",INDEX(C4:C8,MATCH(J213,D4:D8,0)))</f>
        <v/>
      </c>
      <c r="BG213" s="79" t="e">
        <f>IF(IF(COUNTIF(BG4:BG212,BG208)&gt;=MAX(D4:D8),BG208+5,BG208)&gt;50,"",IF(COUNTIF(BG4:BG212,BG208)&gt;=MAX(D4:D8),BG208+5,BG208))</f>
        <v>#VALUE!</v>
      </c>
      <c r="BH213" s="76" t="e">
        <f>IF(BG213="","",VLOOKUP(BG213,S4:U53,3,0))</f>
        <v>#VALUE!</v>
      </c>
      <c r="BI213" s="8" t="str">
        <f t="shared" si="170"/>
        <v/>
      </c>
      <c r="BP213" s="71" t="e">
        <f>IF(BT213="","",BT213*10+5)</f>
        <v>#VALUE!</v>
      </c>
      <c r="BQ213" s="71" t="str">
        <f>IF(OR(COUNTBLANK(BT213)=1,ISERROR(BT213)),"",COUNT(BT4:BT213))</f>
        <v/>
      </c>
      <c r="BR213" s="7" t="e">
        <f t="shared" si="172"/>
        <v>#VALUE!</v>
      </c>
      <c r="BS213" s="1" t="str">
        <f t="shared" si="173"/>
        <v/>
      </c>
      <c r="BT213" s="79" t="e">
        <f>IF(IF(COUNTIF($BT$4:BT212,BT212)&gt;=MAX($D$4:$D$8),BT212+1,BT212)&gt;55,"",IF(COUNTIF($BT$4:BT212,BT212)&gt;=MAX($D$4:$D$8),BT212+1,BT212))</f>
        <v>#VALUE!</v>
      </c>
      <c r="BU213" s="1" t="e">
        <f t="shared" si="174"/>
        <v>#VALUE!</v>
      </c>
      <c r="BV213" s="8" t="str">
        <f t="shared" si="175"/>
        <v/>
      </c>
      <c r="BX213" s="71" t="e">
        <f t="shared" si="176"/>
        <v>#VALUE!</v>
      </c>
      <c r="BY213" s="71" t="str">
        <f>IF(OR(COUNTBLANK(CB213)=1,ISERROR(CB213)),"",COUNT($CB$4:CB213))</f>
        <v/>
      </c>
      <c r="BZ213" s="7" t="e">
        <f t="shared" si="177"/>
        <v>#VALUE!</v>
      </c>
      <c r="CA213" s="1" t="str">
        <f t="shared" si="178"/>
        <v/>
      </c>
      <c r="CB213" s="79" t="e">
        <f>IF(IF(COUNTIF($CB$4:CB212,CB211)&gt;=MAX($D$4:$D$8),CB211+2,CB211)&gt;55,"",IF(COUNTIF($CB$4:CB212,CB211)&gt;=MAX($D$4:$D$8),CB211+2,CB211))</f>
        <v>#VALUE!</v>
      </c>
      <c r="CC213" s="1" t="e">
        <f t="shared" si="179"/>
        <v>#VALUE!</v>
      </c>
      <c r="CD213" s="8" t="str">
        <f t="shared" si="180"/>
        <v/>
      </c>
      <c r="CF213" s="71" t="e">
        <f t="shared" si="193"/>
        <v>#VALUE!</v>
      </c>
      <c r="CG213" s="71" t="str">
        <f>IF(OR(COUNTBLANK(CJ213)=1,ISERROR(CJ213)),"",COUNT($CJ$4:CJ213))</f>
        <v/>
      </c>
      <c r="CH213" s="7" t="e">
        <f t="shared" si="194"/>
        <v>#VALUE!</v>
      </c>
      <c r="CI213" s="1" t="str">
        <f t="shared" si="195"/>
        <v/>
      </c>
      <c r="CJ213" s="79" t="e">
        <f>IF(IF(COUNTIF($CJ$4:CJ212,CJ210)&gt;=MAX($D$4:$D$8),CJ210+3,CJ210)&gt;55,"",IF(COUNTIF($CJ$4:CJ212,CJ210)&gt;=MAX($D$4:$D$8),CJ210+3,CJ210))</f>
        <v>#VALUE!</v>
      </c>
      <c r="CK213" s="1" t="e">
        <f t="shared" si="181"/>
        <v>#VALUE!</v>
      </c>
      <c r="CL213" s="8" t="str">
        <f t="shared" si="196"/>
        <v/>
      </c>
      <c r="CN213" s="71" t="e">
        <f t="shared" si="187"/>
        <v>#VALUE!</v>
      </c>
      <c r="CO213" s="71" t="str">
        <f>IF(OR(COUNTBLANK(CR213)=1,ISERROR(CR213)),"",COUNT($CR$4:CR213))</f>
        <v/>
      </c>
      <c r="CP213" s="7" t="e">
        <f t="shared" si="188"/>
        <v>#VALUE!</v>
      </c>
      <c r="CQ213" s="1" t="str">
        <f t="shared" si="189"/>
        <v/>
      </c>
      <c r="CR213" s="79" t="e">
        <f>IF(IF(COUNTIF($CR$4:CR212,CR209)&gt;=MAX($D$4:$D$8),CR209+4,CR209)&gt;55,"",IF(COUNTIF($CR$4:CR212,CR209)&gt;=MAX($D$4:$D$8),CR209+4,CR209))</f>
        <v>#VALUE!</v>
      </c>
      <c r="CS213" s="1" t="e">
        <f t="shared" si="182"/>
        <v>#VALUE!</v>
      </c>
      <c r="CT213" s="8" t="str">
        <f t="shared" si="190"/>
        <v/>
      </c>
      <c r="CV213" s="71" t="e">
        <f t="shared" si="153"/>
        <v>#VALUE!</v>
      </c>
      <c r="CW213" s="71" t="str">
        <f>IF(OR(COUNTBLANK(CZ213)=1,ISERROR(CZ213)),"",COUNT($CZ$4:CZ213))</f>
        <v/>
      </c>
      <c r="CX213" s="7" t="e">
        <f t="shared" si="154"/>
        <v>#VALUE!</v>
      </c>
      <c r="CY213" s="1" t="str">
        <f t="shared" si="155"/>
        <v/>
      </c>
      <c r="CZ213" s="79" t="e">
        <f>IF(IF(COUNTIF($CZ$4:CZ212,CZ208)&gt;=MAX($D$4:$D$8),CZ208+5,CZ208)&gt;55,"",IF(COUNTIF($CZ$4:CZ212,CZ208)&gt;=MAX($D$4:$D$8),CZ208+5,CZ208))</f>
        <v>#VALUE!</v>
      </c>
      <c r="DA213" s="1" t="e">
        <f t="shared" si="183"/>
        <v>#VALUE!</v>
      </c>
      <c r="DB213" s="8" t="str">
        <f t="shared" si="156"/>
        <v/>
      </c>
    </row>
    <row r="214" spans="5:106" x14ac:dyDescent="0.15">
      <c r="E214" s="1">
        <v>211</v>
      </c>
      <c r="F214" s="1">
        <f t="shared" si="184"/>
        <v>1</v>
      </c>
      <c r="G214" s="1">
        <f t="shared" si="191"/>
        <v>1</v>
      </c>
      <c r="H214" s="1">
        <f t="shared" si="185"/>
        <v>1</v>
      </c>
      <c r="I214" s="1">
        <f t="shared" si="186"/>
        <v>1</v>
      </c>
      <c r="J214" s="1">
        <f t="shared" si="192"/>
        <v>1</v>
      </c>
      <c r="L214" s="1" t="str">
        <f>IF(ISERROR(HLOOKUP($C$10,$F$3:$J$253,212,0)),"",HLOOKUP($C$10,$F$3:$J$253,212,0))</f>
        <v/>
      </c>
      <c r="N214" s="67"/>
      <c r="W214" s="71" t="e">
        <f>IF(AA214="","",AA214*10+1)</f>
        <v>#VALUE!</v>
      </c>
      <c r="X214" s="71" t="str">
        <f>IF(OR(COUNTBLANK(AA214)=1,ISERROR(AA214)),"",COUNT(AA4:AA214))</f>
        <v/>
      </c>
      <c r="Y214" s="7" t="e">
        <f t="shared" si="157"/>
        <v>#VALUE!</v>
      </c>
      <c r="Z214" s="1" t="str">
        <f t="shared" si="171"/>
        <v/>
      </c>
      <c r="AA214" s="79" t="e">
        <f>IF(IF(COUNTIF(AA4:AA213,AA213)&gt;=MAX(D4:D8),AA213+1,AA213)&gt;50,"",IF(COUNTIF(AA4:AA213,AA213)&gt;=MAX(D4:D8),AA213+1,AA213))</f>
        <v>#VALUE!</v>
      </c>
      <c r="AB214" s="1" t="e">
        <f>IF(AA214="","",VLOOKUP(AA214,S4:U53,3,0))</f>
        <v>#VALUE!</v>
      </c>
      <c r="AC214" s="8" t="str">
        <f t="shared" si="158"/>
        <v/>
      </c>
      <c r="AE214" s="71" t="e">
        <f t="shared" si="159"/>
        <v>#VALUE!</v>
      </c>
      <c r="AF214" s="71" t="str">
        <f>IF(OR(COUNTBLANK(AI214)=1,ISERROR(AI214)),"",COUNT(AI4:AI214))</f>
        <v/>
      </c>
      <c r="AG214" s="7" t="e">
        <f t="shared" si="160"/>
        <v>#VALUE!</v>
      </c>
      <c r="AH214" s="1" t="str">
        <f>IF(ISERROR(INDEX(C4:C8,MATCH(G214,D4:D8,0))),"",INDEX(C4:C8,MATCH(G214,D4:D8,0)))</f>
        <v/>
      </c>
      <c r="AI214" s="79" t="e">
        <f>IF(IF(COUNTIF(AI4:AI213,AI212)&gt;=MAX(D4:D8),AI212+2,AI212)&gt;50,"",IF(COUNTIF(AI4:AI213,AI212)&gt;=MAX(D4:D8),AI212+2,AI212))</f>
        <v>#VALUE!</v>
      </c>
      <c r="AJ214" s="1" t="e">
        <f>IF(AI214="","",VLOOKUP(AI214,S4:U53,3,0))</f>
        <v>#VALUE!</v>
      </c>
      <c r="AK214" s="8" t="str">
        <f t="shared" si="161"/>
        <v/>
      </c>
      <c r="AM214" s="71" t="e">
        <f t="shared" si="162"/>
        <v>#VALUE!</v>
      </c>
      <c r="AN214" s="71" t="str">
        <f>IF(OR(COUNTBLANK(AQ214)=1,ISERROR(AQ214)),"",COUNT(AQ4:AQ214))</f>
        <v/>
      </c>
      <c r="AO214" s="7" t="e">
        <f t="shared" si="163"/>
        <v>#VALUE!</v>
      </c>
      <c r="AP214" s="1" t="str">
        <f>IF(ISERROR(INDEX(C4:C8,MATCH(H214,D4:D8,0))),"",INDEX(C4:C8,MATCH(H214,D4:D8,0)))</f>
        <v/>
      </c>
      <c r="AQ214" s="79" t="e">
        <f>IF(IF(COUNTIF(AQ4:AQ213,AQ211)&gt;=MAX(D4:D8),AQ211+3,AQ211)&gt;50,"",IF(COUNTIF(AQ4:AQ213,AQ211)&gt;=MAX(D4:D8),AQ211+3,AQ211))</f>
        <v>#VALUE!</v>
      </c>
      <c r="AR214" s="1" t="e">
        <f>IF(AQ214="","",VLOOKUP(AQ214,S4:U53,3,0))</f>
        <v>#VALUE!</v>
      </c>
      <c r="AS214" s="8" t="str">
        <f t="shared" si="164"/>
        <v/>
      </c>
      <c r="AU214" s="71" t="e">
        <f t="shared" si="165"/>
        <v>#VALUE!</v>
      </c>
      <c r="AV214" s="71" t="str">
        <f>IF(OR(COUNTBLANK(AY214)=1,ISERROR(AY214)),"",COUNT(AY4:AY214))</f>
        <v/>
      </c>
      <c r="AW214" s="7" t="e">
        <f t="shared" si="166"/>
        <v>#VALUE!</v>
      </c>
      <c r="AX214" s="1" t="str">
        <f>IF(ISERROR(INDEX(C4:C8,MATCH(I214,D4:D8,0))),"",INDEX(C4:C8,MATCH(I214,D4:D8,0)))</f>
        <v/>
      </c>
      <c r="AY214" s="79" t="e">
        <f>IF(IF(COUNTIF(AY4:AY213,AY210)&gt;=MAX(D4:D8),AY210+4,AY210)&gt;50,"",IF(COUNTIF(AY4:AY213,AY210)&gt;=MAX(D4:D8),AY210+4,AY210))</f>
        <v>#VALUE!</v>
      </c>
      <c r="AZ214" s="76" t="e">
        <f>IF(AY214="","",VLOOKUP(AY214,S4:U53,3,0))</f>
        <v>#VALUE!</v>
      </c>
      <c r="BA214" s="8" t="str">
        <f t="shared" si="167"/>
        <v/>
      </c>
      <c r="BC214" s="71" t="e">
        <f t="shared" si="168"/>
        <v>#VALUE!</v>
      </c>
      <c r="BD214" s="71" t="str">
        <f>IF(OR(COUNTBLANK(BG214)=1,ISERROR(BG214)),"",COUNT(BG4:BG214))</f>
        <v/>
      </c>
      <c r="BE214" s="7" t="e">
        <f t="shared" si="169"/>
        <v>#VALUE!</v>
      </c>
      <c r="BF214" s="1" t="str">
        <f>IF(ISERROR(INDEX(C4:C8,MATCH(J214,D4:D8,0))),"",INDEX(C4:C8,MATCH(J214,D4:D8,0)))</f>
        <v/>
      </c>
      <c r="BG214" s="79" t="e">
        <f>IF(IF(COUNTIF(BG4:BG213,BG209)&gt;=MAX(D4:D8),BG209+5,BG209)&gt;50,"",IF(COUNTIF(BG4:BG213,BG209)&gt;=MAX(D4:D8),BG209+5,BG209))</f>
        <v>#VALUE!</v>
      </c>
      <c r="BH214" s="76" t="e">
        <f>IF(BG214="","",VLOOKUP(BG214,S4:U53,3,0))</f>
        <v>#VALUE!</v>
      </c>
      <c r="BI214" s="8" t="str">
        <f t="shared" si="170"/>
        <v/>
      </c>
      <c r="BP214" s="71" t="e">
        <f>IF(BT214="","",BT214*10+1)</f>
        <v>#VALUE!</v>
      </c>
      <c r="BQ214" s="71" t="str">
        <f>IF(OR(COUNTBLANK(BT214)=1,ISERROR(BT214)),"",COUNT(BT4:BT214))</f>
        <v/>
      </c>
      <c r="BR214" s="7" t="e">
        <f t="shared" si="172"/>
        <v>#VALUE!</v>
      </c>
      <c r="BS214" s="1" t="str">
        <f t="shared" si="173"/>
        <v/>
      </c>
      <c r="BT214" s="79" t="e">
        <f>IF(IF(COUNTIF($BT$4:BT213,BT213)&gt;=MAX($D$4:$D$8),BT213+1,BT213)&gt;55,"",IF(COUNTIF($BT$4:BT213,BT213)&gt;=MAX($D$4:$D$8),BT213+1,BT213))</f>
        <v>#VALUE!</v>
      </c>
      <c r="BU214" s="1" t="e">
        <f t="shared" si="174"/>
        <v>#VALUE!</v>
      </c>
      <c r="BV214" s="8" t="str">
        <f t="shared" si="175"/>
        <v/>
      </c>
      <c r="BX214" s="71" t="e">
        <f t="shared" si="176"/>
        <v>#VALUE!</v>
      </c>
      <c r="BY214" s="71" t="str">
        <f>IF(OR(COUNTBLANK(CB214)=1,ISERROR(CB214)),"",COUNT($CB$4:CB214))</f>
        <v/>
      </c>
      <c r="BZ214" s="7" t="e">
        <f t="shared" si="177"/>
        <v>#VALUE!</v>
      </c>
      <c r="CA214" s="1" t="str">
        <f t="shared" si="178"/>
        <v/>
      </c>
      <c r="CB214" s="79" t="e">
        <f>IF(IF(COUNTIF($CB$4:CB213,CB212)&gt;=MAX($D$4:$D$8),CB212+2,CB212)&gt;55,"",IF(COUNTIF($CB$4:CB213,CB212)&gt;=MAX($D$4:$D$8),CB212+2,CB212))</f>
        <v>#VALUE!</v>
      </c>
      <c r="CC214" s="1" t="e">
        <f t="shared" si="179"/>
        <v>#VALUE!</v>
      </c>
      <c r="CD214" s="8" t="str">
        <f t="shared" si="180"/>
        <v/>
      </c>
      <c r="CF214" s="71" t="e">
        <f t="shared" si="193"/>
        <v>#VALUE!</v>
      </c>
      <c r="CG214" s="71" t="str">
        <f>IF(OR(COUNTBLANK(CJ214)=1,ISERROR(CJ214)),"",COUNT($CJ$4:CJ214))</f>
        <v/>
      </c>
      <c r="CH214" s="7" t="e">
        <f t="shared" si="194"/>
        <v>#VALUE!</v>
      </c>
      <c r="CI214" s="1" t="str">
        <f t="shared" si="195"/>
        <v/>
      </c>
      <c r="CJ214" s="79" t="e">
        <f>IF(IF(COUNTIF($CJ$4:CJ213,CJ211)&gt;=MAX($D$4:$D$8),CJ211+3,CJ211)&gt;55,"",IF(COUNTIF($CJ$4:CJ213,CJ211)&gt;=MAX($D$4:$D$8),CJ211+3,CJ211))</f>
        <v>#VALUE!</v>
      </c>
      <c r="CK214" s="1" t="e">
        <f t="shared" si="181"/>
        <v>#VALUE!</v>
      </c>
      <c r="CL214" s="8" t="str">
        <f t="shared" si="196"/>
        <v/>
      </c>
      <c r="CN214" s="71" t="e">
        <f t="shared" si="187"/>
        <v>#VALUE!</v>
      </c>
      <c r="CO214" s="71" t="str">
        <f>IF(OR(COUNTBLANK(CR214)=1,ISERROR(CR214)),"",COUNT($CR$4:CR214))</f>
        <v/>
      </c>
      <c r="CP214" s="7" t="e">
        <f t="shared" si="188"/>
        <v>#VALUE!</v>
      </c>
      <c r="CQ214" s="1" t="str">
        <f t="shared" si="189"/>
        <v/>
      </c>
      <c r="CR214" s="79" t="e">
        <f>IF(IF(COUNTIF($CR$4:CR213,CR210)&gt;=MAX($D$4:$D$8),CR210+4,CR210)&gt;55,"",IF(COUNTIF($CR$4:CR213,CR210)&gt;=MAX($D$4:$D$8),CR210+4,CR210))</f>
        <v>#VALUE!</v>
      </c>
      <c r="CS214" s="1" t="e">
        <f t="shared" si="182"/>
        <v>#VALUE!</v>
      </c>
      <c r="CT214" s="8" t="str">
        <f t="shared" si="190"/>
        <v/>
      </c>
      <c r="CV214" s="71" t="e">
        <f t="shared" ref="CV214:CV277" si="197">IF(CZ214="","",CZ214*10+J214)</f>
        <v>#VALUE!</v>
      </c>
      <c r="CW214" s="71" t="str">
        <f>IF(OR(COUNTBLANK(CZ214)=1,ISERROR(CZ214)),"",COUNT($CZ$4:CZ214))</f>
        <v/>
      </c>
      <c r="CX214" s="7" t="e">
        <f t="shared" ref="CX214:CX277" si="198">IF(CZ214&gt;25,"ナビ・","1・2年のWナビ・")</f>
        <v>#VALUE!</v>
      </c>
      <c r="CY214" s="1" t="str">
        <f t="shared" ref="CY214:CY277" si="199">IF(ISERROR(INDEX($C$4:$C$8,MATCH(J214,$D$4:$D$8,0))),"",INDEX($C$4:$C$8,MATCH(J214,$D$4:$D$8,0)))</f>
        <v/>
      </c>
      <c r="CZ214" s="79" t="e">
        <f>IF(IF(COUNTIF($CZ$4:CZ213,CZ209)&gt;=MAX($D$4:$D$8),CZ209+5,CZ209)&gt;55,"",IF(COUNTIF($CZ$4:CZ213,CZ209)&gt;=MAX($D$4:$D$8),CZ209+5,CZ209))</f>
        <v>#VALUE!</v>
      </c>
      <c r="DA214" s="1" t="e">
        <f t="shared" si="183"/>
        <v>#VALUE!</v>
      </c>
      <c r="DB214" s="8" t="str">
        <f t="shared" ref="DB214:DB277" si="200">IF(ISERROR(IF(COUNTIF(CY214:DA214,"")&gt;=1,"",CX214&amp;CY214&amp;"【"&amp;VLOOKUP(CZ214,$BL$4:$BN$58,2,0)&amp;"】"&amp;DA214)),"",IF(COUNTIF(CY214:DA214,"")&gt;=1,"",CX214&amp;CY214&amp;"【"&amp;VLOOKUP(CZ214,$BL$4:$BN$58,2,0)&amp;"】"&amp;DA214))</f>
        <v/>
      </c>
    </row>
    <row r="215" spans="5:106" x14ac:dyDescent="0.15">
      <c r="E215" s="1">
        <v>212</v>
      </c>
      <c r="F215" s="1">
        <f t="shared" si="184"/>
        <v>1</v>
      </c>
      <c r="G215" s="1">
        <f t="shared" si="191"/>
        <v>1</v>
      </c>
      <c r="H215" s="1">
        <f t="shared" si="185"/>
        <v>1</v>
      </c>
      <c r="I215" s="1">
        <f t="shared" si="186"/>
        <v>1</v>
      </c>
      <c r="J215" s="1">
        <f t="shared" si="192"/>
        <v>1</v>
      </c>
      <c r="L215" s="1" t="str">
        <f>IF(ISERROR(HLOOKUP($C$10,$F$3:$J$253,213,0)),"",HLOOKUP($C$10,$F$3:$J$253,213,0))</f>
        <v/>
      </c>
      <c r="N215" s="67"/>
      <c r="W215" s="71" t="e">
        <f>IF(AA215="","",AA215*10+2)</f>
        <v>#VALUE!</v>
      </c>
      <c r="X215" s="71" t="str">
        <f>IF(OR(COUNTBLANK(AA215)=1,ISERROR(AA215)),"",COUNT(AA4:AA215))</f>
        <v/>
      </c>
      <c r="Y215" s="7" t="e">
        <f t="shared" si="157"/>
        <v>#VALUE!</v>
      </c>
      <c r="Z215" s="1" t="str">
        <f t="shared" si="171"/>
        <v/>
      </c>
      <c r="AA215" s="79" t="e">
        <f>IF(IF(COUNTIF(AA4:AA214,AA214)&gt;=MAX(D4:D8),AA214+1,AA214)&gt;50,"",IF(COUNTIF(AA4:AA214,AA214)&gt;=MAX(D4:D8),AA214+1,AA214))</f>
        <v>#VALUE!</v>
      </c>
      <c r="AB215" s="1" t="e">
        <f>IF(AA215="","",VLOOKUP(AA215,S4:U53,3,0))</f>
        <v>#VALUE!</v>
      </c>
      <c r="AC215" s="8" t="str">
        <f t="shared" si="158"/>
        <v/>
      </c>
      <c r="AE215" s="71" t="e">
        <f t="shared" si="159"/>
        <v>#VALUE!</v>
      </c>
      <c r="AF215" s="71" t="str">
        <f>IF(OR(COUNTBLANK(AI215)=1,ISERROR(AI215)),"",COUNT(AI4:AI215))</f>
        <v/>
      </c>
      <c r="AG215" s="7" t="e">
        <f t="shared" si="160"/>
        <v>#VALUE!</v>
      </c>
      <c r="AH215" s="1" t="str">
        <f>IF(ISERROR(INDEX(C4:C8,MATCH(G215,D4:D8,0))),"",INDEX(C4:C8,MATCH(G215,D4:D8,0)))</f>
        <v/>
      </c>
      <c r="AI215" s="79" t="e">
        <f>IF(IF(COUNTIF(AI4:AI213,AI213)&gt;=MAX(D4:D8),AI213+2,AI213)&gt;50,"",IF(COUNTIF(AI4:AI213,AI213)&gt;=MAX(D4:D8),AI213+2,AI213))</f>
        <v>#VALUE!</v>
      </c>
      <c r="AJ215" s="1" t="e">
        <f>IF(AI215="","",VLOOKUP(AI215,S4:U53,3,0))</f>
        <v>#VALUE!</v>
      </c>
      <c r="AK215" s="8" t="str">
        <f t="shared" si="161"/>
        <v/>
      </c>
      <c r="AM215" s="71" t="e">
        <f t="shared" si="162"/>
        <v>#VALUE!</v>
      </c>
      <c r="AN215" s="71" t="str">
        <f>IF(OR(COUNTBLANK(AQ215)=1,ISERROR(AQ215)),"",COUNT(AQ4:AQ215))</f>
        <v/>
      </c>
      <c r="AO215" s="7" t="e">
        <f t="shared" si="163"/>
        <v>#VALUE!</v>
      </c>
      <c r="AP215" s="1" t="str">
        <f>IF(ISERROR(INDEX(C4:C8,MATCH(H215,D4:D8,0))),"",INDEX(C4:C8,MATCH(H215,D4:D8,0)))</f>
        <v/>
      </c>
      <c r="AQ215" s="79" t="e">
        <f>IF(IF(COUNTIF(AQ4:AQ214,AQ212)&gt;=MAX(D4:D8),AQ212+3,AQ212)&gt;50,"",IF(COUNTIF(AQ4:AQ214,AQ212)&gt;=MAX(D4:D8),AQ212+3,AQ212))</f>
        <v>#VALUE!</v>
      </c>
      <c r="AR215" s="1" t="e">
        <f>IF(AQ215="","",VLOOKUP(AQ215,S4:U53,3,0))</f>
        <v>#VALUE!</v>
      </c>
      <c r="AS215" s="8" t="str">
        <f t="shared" si="164"/>
        <v/>
      </c>
      <c r="AU215" s="71" t="e">
        <f t="shared" si="165"/>
        <v>#VALUE!</v>
      </c>
      <c r="AV215" s="71" t="str">
        <f>IF(OR(COUNTBLANK(AY215)=1,ISERROR(AY215)),"",COUNT(AY4:AY215))</f>
        <v/>
      </c>
      <c r="AW215" s="7" t="e">
        <f t="shared" si="166"/>
        <v>#VALUE!</v>
      </c>
      <c r="AX215" s="1" t="str">
        <f>IF(ISERROR(INDEX(C4:C8,MATCH(I215,D4:D8,0))),"",INDEX(C4:C8,MATCH(I215,D4:D8,0)))</f>
        <v/>
      </c>
      <c r="AY215" s="79" t="e">
        <f>IF(IF(COUNTIF(AY4:AY214,AY211)&gt;=MAX(D4:D8),AY211+4,AY211)&gt;50,"",IF(COUNTIF(AY4:AY214,AY211)&gt;=MAX(D4:D8),AY211+4,AY211))</f>
        <v>#VALUE!</v>
      </c>
      <c r="AZ215" s="76" t="e">
        <f>IF(AY215="","",VLOOKUP(AY215,S4:U53,3,0))</f>
        <v>#VALUE!</v>
      </c>
      <c r="BA215" s="8" t="str">
        <f t="shared" si="167"/>
        <v/>
      </c>
      <c r="BC215" s="71" t="e">
        <f t="shared" si="168"/>
        <v>#VALUE!</v>
      </c>
      <c r="BD215" s="71" t="str">
        <f>IF(OR(COUNTBLANK(BG215)=1,ISERROR(BG215)),"",COUNT(BG4:BG215))</f>
        <v/>
      </c>
      <c r="BE215" s="7" t="e">
        <f t="shared" si="169"/>
        <v>#VALUE!</v>
      </c>
      <c r="BF215" s="1" t="str">
        <f>IF(ISERROR(INDEX(C4:C8,MATCH(J215,D4:D8,0))),"",INDEX(C4:C8,MATCH(J215,D4:D8,0)))</f>
        <v/>
      </c>
      <c r="BG215" s="79" t="e">
        <f>IF(IF(COUNTIF(BG4:BG214,BG210)&gt;=MAX(D4:D8),BG210+5,BG210)&gt;50,"",IF(COUNTIF(BG4:BG214,BG210)&gt;=MAX(D4:D8),BG210+5,BG210))</f>
        <v>#VALUE!</v>
      </c>
      <c r="BH215" s="76" t="e">
        <f>IF(BG215="","",VLOOKUP(BG215,S4:U53,3,0))</f>
        <v>#VALUE!</v>
      </c>
      <c r="BI215" s="8" t="str">
        <f t="shared" si="170"/>
        <v/>
      </c>
      <c r="BP215" s="71" t="e">
        <f>IF(BT215="","",BT215*10+2)</f>
        <v>#VALUE!</v>
      </c>
      <c r="BQ215" s="71" t="str">
        <f>IF(OR(COUNTBLANK(BT215)=1,ISERROR(BT215)),"",COUNT(BT4:BT215))</f>
        <v/>
      </c>
      <c r="BR215" s="7" t="e">
        <f t="shared" si="172"/>
        <v>#VALUE!</v>
      </c>
      <c r="BS215" s="1" t="str">
        <f t="shared" si="173"/>
        <v/>
      </c>
      <c r="BT215" s="79" t="e">
        <f>IF(IF(COUNTIF($BT$4:BT214,BT214)&gt;=MAX($D$4:$D$8),BT214+1,BT214)&gt;55,"",IF(COUNTIF($BT$4:BT214,BT214)&gt;=MAX($D$4:$D$8),BT214+1,BT214))</f>
        <v>#VALUE!</v>
      </c>
      <c r="BU215" s="1" t="e">
        <f t="shared" si="174"/>
        <v>#VALUE!</v>
      </c>
      <c r="BV215" s="8" t="str">
        <f t="shared" si="175"/>
        <v/>
      </c>
      <c r="BX215" s="71" t="e">
        <f t="shared" si="176"/>
        <v>#VALUE!</v>
      </c>
      <c r="BY215" s="71" t="str">
        <f>IF(OR(COUNTBLANK(CB215)=1,ISERROR(CB215)),"",COUNT($CB$4:CB215))</f>
        <v/>
      </c>
      <c r="BZ215" s="7" t="e">
        <f t="shared" si="177"/>
        <v>#VALUE!</v>
      </c>
      <c r="CA215" s="1" t="str">
        <f t="shared" si="178"/>
        <v/>
      </c>
      <c r="CB215" s="79" t="e">
        <f>IF(IF(COUNTIF($CB$4:CB214,CB213)&gt;=MAX($D$4:$D$8),CB213+2,CB213)&gt;55,"",IF(COUNTIF($CB$4:CB214,CB213)&gt;=MAX($D$4:$D$8),CB213+2,CB213))</f>
        <v>#VALUE!</v>
      </c>
      <c r="CC215" s="1" t="e">
        <f t="shared" si="179"/>
        <v>#VALUE!</v>
      </c>
      <c r="CD215" s="8" t="str">
        <f t="shared" si="180"/>
        <v/>
      </c>
      <c r="CF215" s="71" t="e">
        <f t="shared" si="193"/>
        <v>#VALUE!</v>
      </c>
      <c r="CG215" s="71" t="str">
        <f>IF(OR(COUNTBLANK(CJ215)=1,ISERROR(CJ215)),"",COUNT($CJ$4:CJ215))</f>
        <v/>
      </c>
      <c r="CH215" s="7" t="e">
        <f t="shared" si="194"/>
        <v>#VALUE!</v>
      </c>
      <c r="CI215" s="1" t="str">
        <f t="shared" si="195"/>
        <v/>
      </c>
      <c r="CJ215" s="79" t="e">
        <f>IF(IF(COUNTIF($CJ$4:CJ214,CJ212)&gt;=MAX($D$4:$D$8),CJ212+3,CJ212)&gt;55,"",IF(COUNTIF($CJ$4:CJ214,CJ212)&gt;=MAX($D$4:$D$8),CJ212+3,CJ212))</f>
        <v>#VALUE!</v>
      </c>
      <c r="CK215" s="1" t="e">
        <f t="shared" si="181"/>
        <v>#VALUE!</v>
      </c>
      <c r="CL215" s="8" t="str">
        <f t="shared" si="196"/>
        <v/>
      </c>
      <c r="CN215" s="71" t="e">
        <f t="shared" si="187"/>
        <v>#VALUE!</v>
      </c>
      <c r="CO215" s="71" t="str">
        <f>IF(OR(COUNTBLANK(CR215)=1,ISERROR(CR215)),"",COUNT($CR$4:CR215))</f>
        <v/>
      </c>
      <c r="CP215" s="7" t="e">
        <f t="shared" si="188"/>
        <v>#VALUE!</v>
      </c>
      <c r="CQ215" s="1" t="str">
        <f t="shared" si="189"/>
        <v/>
      </c>
      <c r="CR215" s="79" t="e">
        <f>IF(IF(COUNTIF($CR$4:CR214,CR211)&gt;=MAX($D$4:$D$8),CR211+4,CR211)&gt;55,"",IF(COUNTIF($CR$4:CR214,CR211)&gt;=MAX($D$4:$D$8),CR211+4,CR211))</f>
        <v>#VALUE!</v>
      </c>
      <c r="CS215" s="1" t="e">
        <f t="shared" si="182"/>
        <v>#VALUE!</v>
      </c>
      <c r="CT215" s="8" t="str">
        <f t="shared" si="190"/>
        <v/>
      </c>
      <c r="CV215" s="71" t="e">
        <f t="shared" si="197"/>
        <v>#VALUE!</v>
      </c>
      <c r="CW215" s="71" t="str">
        <f>IF(OR(COUNTBLANK(CZ215)=1,ISERROR(CZ215)),"",COUNT($CZ$4:CZ215))</f>
        <v/>
      </c>
      <c r="CX215" s="7" t="e">
        <f t="shared" si="198"/>
        <v>#VALUE!</v>
      </c>
      <c r="CY215" s="1" t="str">
        <f t="shared" si="199"/>
        <v/>
      </c>
      <c r="CZ215" s="79" t="e">
        <f>IF(IF(COUNTIF($CZ$4:CZ214,CZ210)&gt;=MAX($D$4:$D$8),CZ210+5,CZ210)&gt;55,"",IF(COUNTIF($CZ$4:CZ214,CZ210)&gt;=MAX($D$4:$D$8),CZ210+5,CZ210))</f>
        <v>#VALUE!</v>
      </c>
      <c r="DA215" s="1" t="e">
        <f t="shared" si="183"/>
        <v>#VALUE!</v>
      </c>
      <c r="DB215" s="8" t="str">
        <f t="shared" si="200"/>
        <v/>
      </c>
    </row>
    <row r="216" spans="5:106" x14ac:dyDescent="0.15">
      <c r="E216" s="1">
        <v>213</v>
      </c>
      <c r="F216" s="1">
        <f t="shared" si="184"/>
        <v>1</v>
      </c>
      <c r="G216" s="1">
        <f t="shared" si="191"/>
        <v>1</v>
      </c>
      <c r="H216" s="1">
        <f t="shared" si="185"/>
        <v>1</v>
      </c>
      <c r="I216" s="1">
        <f t="shared" si="186"/>
        <v>1</v>
      </c>
      <c r="J216" s="1">
        <f t="shared" si="192"/>
        <v>1</v>
      </c>
      <c r="L216" s="1" t="str">
        <f>IF(ISERROR(HLOOKUP($C$10,$F$3:$J$253,214,0)),"",HLOOKUP($C$10,$F$3:$J$253,214,0))</f>
        <v/>
      </c>
      <c r="N216" s="67"/>
      <c r="W216" s="71" t="e">
        <f>IF(AA216="","",AA216*10+3)</f>
        <v>#VALUE!</v>
      </c>
      <c r="X216" s="71" t="str">
        <f>IF(OR(COUNTBLANK(AA216)=1,ISERROR(AA216)),"",COUNT(AA4:AA216))</f>
        <v/>
      </c>
      <c r="Y216" s="7" t="e">
        <f t="shared" si="157"/>
        <v>#VALUE!</v>
      </c>
      <c r="Z216" s="1" t="str">
        <f t="shared" si="171"/>
        <v/>
      </c>
      <c r="AA216" s="79" t="e">
        <f>IF(IF(COUNTIF(AA4:AA215,AA215)&gt;=MAX(D4:D8),AA215+1,AA215)&gt;50,"",IF(COUNTIF(AA4:AA215,AA215)&gt;=MAX(D4:D8),AA215+1,AA215))</f>
        <v>#VALUE!</v>
      </c>
      <c r="AB216" s="1" t="e">
        <f>IF(AA216="","",VLOOKUP(AA216,S4:U53,3,0))</f>
        <v>#VALUE!</v>
      </c>
      <c r="AC216" s="8" t="str">
        <f t="shared" si="158"/>
        <v/>
      </c>
      <c r="AE216" s="71" t="e">
        <f t="shared" si="159"/>
        <v>#VALUE!</v>
      </c>
      <c r="AF216" s="71" t="str">
        <f>IF(OR(COUNTBLANK(AI216)=1,ISERROR(AI216)),"",COUNT(AI4:AI216))</f>
        <v/>
      </c>
      <c r="AG216" s="7" t="e">
        <f t="shared" si="160"/>
        <v>#VALUE!</v>
      </c>
      <c r="AH216" s="1" t="str">
        <f>IF(ISERROR(INDEX(C4:C8,MATCH(G216,D4:D8,0))),"",INDEX(C4:C8,MATCH(G216,D4:D8,0)))</f>
        <v/>
      </c>
      <c r="AI216" s="79" t="e">
        <f>IF(IF(COUNTIF(AI4:AI215,AI214)&gt;=MAX(D4:D8),AI214+2,AI214)&gt;50,"",IF(COUNTIF(AI4:AI215,AI214)&gt;=MAX(D4:D8),AI214+2,AI214))</f>
        <v>#VALUE!</v>
      </c>
      <c r="AJ216" s="1" t="e">
        <f>IF(AI216="","",VLOOKUP(AI216,S4:U53,3,0))</f>
        <v>#VALUE!</v>
      </c>
      <c r="AK216" s="8" t="str">
        <f t="shared" si="161"/>
        <v/>
      </c>
      <c r="AM216" s="71" t="e">
        <f t="shared" si="162"/>
        <v>#VALUE!</v>
      </c>
      <c r="AN216" s="71" t="str">
        <f>IF(OR(COUNTBLANK(AQ216)=1,ISERROR(AQ216)),"",COUNT(AQ4:AQ216))</f>
        <v/>
      </c>
      <c r="AO216" s="7" t="e">
        <f t="shared" si="163"/>
        <v>#VALUE!</v>
      </c>
      <c r="AP216" s="1" t="str">
        <f>IF(ISERROR(INDEX(C4:C8,MATCH(H216,D4:D8,0))),"",INDEX(C4:C8,MATCH(H216,D4:D8,0)))</f>
        <v/>
      </c>
      <c r="AQ216" s="79" t="e">
        <f>IF(IF(COUNTIF(AQ4:AQ215,AQ213)&gt;=MAX(D4:D8),AQ213+3,AQ213)&gt;50,"",IF(COUNTIF(AQ4:AQ215,AQ213)&gt;=MAX(D4:D8),AQ213+3,AQ213))</f>
        <v>#VALUE!</v>
      </c>
      <c r="AR216" s="1" t="e">
        <f>IF(AQ216="","",VLOOKUP(AQ216,S4:U53,3,0))</f>
        <v>#VALUE!</v>
      </c>
      <c r="AS216" s="8" t="str">
        <f t="shared" si="164"/>
        <v/>
      </c>
      <c r="AU216" s="71" t="e">
        <f t="shared" si="165"/>
        <v>#VALUE!</v>
      </c>
      <c r="AV216" s="71" t="str">
        <f>IF(OR(COUNTBLANK(AY216)=1,ISERROR(AY216)),"",COUNT(AY4:AY216))</f>
        <v/>
      </c>
      <c r="AW216" s="7" t="e">
        <f t="shared" si="166"/>
        <v>#VALUE!</v>
      </c>
      <c r="AX216" s="1" t="str">
        <f>IF(ISERROR(INDEX(C4:C8,MATCH(I216,D4:D8,0))),"",INDEX(C4:C8,MATCH(I216,D4:D8,0)))</f>
        <v/>
      </c>
      <c r="AY216" s="79" t="e">
        <f>IF(IF(COUNTIF(AY4:AY215,AY212)&gt;=MAX(D4:D8),AY212+4,AY212)&gt;50,"",IF(COUNTIF(AY4:AY215,AY212)&gt;=MAX(D4:D8),AY212+4,AY212))</f>
        <v>#VALUE!</v>
      </c>
      <c r="AZ216" s="76" t="e">
        <f>IF(AY216="","",VLOOKUP(AY216,S4:U53,3,0))</f>
        <v>#VALUE!</v>
      </c>
      <c r="BA216" s="8" t="str">
        <f t="shared" si="167"/>
        <v/>
      </c>
      <c r="BC216" s="71" t="e">
        <f t="shared" si="168"/>
        <v>#VALUE!</v>
      </c>
      <c r="BD216" s="71" t="str">
        <f>IF(OR(COUNTBLANK(BG216)=1,ISERROR(BG216)),"",COUNT(BG4:BG216))</f>
        <v/>
      </c>
      <c r="BE216" s="7" t="e">
        <f t="shared" si="169"/>
        <v>#VALUE!</v>
      </c>
      <c r="BF216" s="1" t="str">
        <f>IF(ISERROR(INDEX(C4:C8,MATCH(J216,D4:D8,0))),"",INDEX(C4:C8,MATCH(J216,D4:D8,0)))</f>
        <v/>
      </c>
      <c r="BG216" s="79" t="e">
        <f>IF(IF(COUNTIF(BG4:BG215,BG211)&gt;=MAX(D4:D8),BG211+5,BG211)&gt;50,"",IF(COUNTIF(BG4:BG215,BG211)&gt;=MAX(D4:D8),BG211+5,BG211))</f>
        <v>#VALUE!</v>
      </c>
      <c r="BH216" s="76" t="e">
        <f>IF(BG216="","",VLOOKUP(BG216,S4:U53,3,0))</f>
        <v>#VALUE!</v>
      </c>
      <c r="BI216" s="8" t="str">
        <f t="shared" si="170"/>
        <v/>
      </c>
      <c r="BP216" s="71" t="e">
        <f>IF(BT216="","",BT216*10+3)</f>
        <v>#VALUE!</v>
      </c>
      <c r="BQ216" s="71" t="str">
        <f>IF(OR(COUNTBLANK(BT216)=1,ISERROR(BT216)),"",COUNT(BT4:BT216))</f>
        <v/>
      </c>
      <c r="BR216" s="7" t="e">
        <f t="shared" si="172"/>
        <v>#VALUE!</v>
      </c>
      <c r="BS216" s="1" t="str">
        <f t="shared" si="173"/>
        <v/>
      </c>
      <c r="BT216" s="79" t="e">
        <f>IF(IF(COUNTIF($BT$4:BT215,BT215)&gt;=MAX($D$4:$D$8),BT215+1,BT215)&gt;55,"",IF(COUNTIF($BT$4:BT215,BT215)&gt;=MAX($D$4:$D$8),BT215+1,BT215))</f>
        <v>#VALUE!</v>
      </c>
      <c r="BU216" s="1" t="e">
        <f t="shared" si="174"/>
        <v>#VALUE!</v>
      </c>
      <c r="BV216" s="8" t="str">
        <f t="shared" si="175"/>
        <v/>
      </c>
      <c r="BX216" s="71" t="e">
        <f t="shared" si="176"/>
        <v>#VALUE!</v>
      </c>
      <c r="BY216" s="71" t="str">
        <f>IF(OR(COUNTBLANK(CB216)=1,ISERROR(CB216)),"",COUNT($CB$4:CB216))</f>
        <v/>
      </c>
      <c r="BZ216" s="7" t="e">
        <f t="shared" si="177"/>
        <v>#VALUE!</v>
      </c>
      <c r="CA216" s="1" t="str">
        <f t="shared" si="178"/>
        <v/>
      </c>
      <c r="CB216" s="79" t="e">
        <f>IF(IF(COUNTIF($CB$4:CB215,CB214)&gt;=MAX($D$4:$D$8),CB214+2,CB214)&gt;55,"",IF(COUNTIF($CB$4:CB215,CB214)&gt;=MAX($D$4:$D$8),CB214+2,CB214))</f>
        <v>#VALUE!</v>
      </c>
      <c r="CC216" s="1" t="e">
        <f t="shared" si="179"/>
        <v>#VALUE!</v>
      </c>
      <c r="CD216" s="8" t="str">
        <f t="shared" si="180"/>
        <v/>
      </c>
      <c r="CF216" s="71" t="e">
        <f t="shared" si="193"/>
        <v>#VALUE!</v>
      </c>
      <c r="CG216" s="71" t="str">
        <f>IF(OR(COUNTBLANK(CJ216)=1,ISERROR(CJ216)),"",COUNT($CJ$4:CJ216))</f>
        <v/>
      </c>
      <c r="CH216" s="7" t="e">
        <f t="shared" si="194"/>
        <v>#VALUE!</v>
      </c>
      <c r="CI216" s="1" t="str">
        <f t="shared" si="195"/>
        <v/>
      </c>
      <c r="CJ216" s="79" t="e">
        <f>IF(IF(COUNTIF($CJ$4:CJ215,CJ213)&gt;=MAX($D$4:$D$8),CJ213+3,CJ213)&gt;55,"",IF(COUNTIF($CJ$4:CJ215,CJ213)&gt;=MAX($D$4:$D$8),CJ213+3,CJ213))</f>
        <v>#VALUE!</v>
      </c>
      <c r="CK216" s="1" t="e">
        <f t="shared" si="181"/>
        <v>#VALUE!</v>
      </c>
      <c r="CL216" s="8" t="str">
        <f t="shared" si="196"/>
        <v/>
      </c>
      <c r="CN216" s="71" t="e">
        <f t="shared" si="187"/>
        <v>#VALUE!</v>
      </c>
      <c r="CO216" s="71" t="str">
        <f>IF(OR(COUNTBLANK(CR216)=1,ISERROR(CR216)),"",COUNT($CR$4:CR216))</f>
        <v/>
      </c>
      <c r="CP216" s="7" t="e">
        <f t="shared" si="188"/>
        <v>#VALUE!</v>
      </c>
      <c r="CQ216" s="1" t="str">
        <f t="shared" si="189"/>
        <v/>
      </c>
      <c r="CR216" s="79" t="e">
        <f>IF(IF(COUNTIF($CR$4:CR215,CR212)&gt;=MAX($D$4:$D$8),CR212+4,CR212)&gt;55,"",IF(COUNTIF($CR$4:CR215,CR212)&gt;=MAX($D$4:$D$8),CR212+4,CR212))</f>
        <v>#VALUE!</v>
      </c>
      <c r="CS216" s="1" t="e">
        <f t="shared" si="182"/>
        <v>#VALUE!</v>
      </c>
      <c r="CT216" s="8" t="str">
        <f t="shared" si="190"/>
        <v/>
      </c>
      <c r="CV216" s="71" t="e">
        <f t="shared" si="197"/>
        <v>#VALUE!</v>
      </c>
      <c r="CW216" s="71" t="str">
        <f>IF(OR(COUNTBLANK(CZ216)=1,ISERROR(CZ216)),"",COUNT($CZ$4:CZ216))</f>
        <v/>
      </c>
      <c r="CX216" s="7" t="e">
        <f t="shared" si="198"/>
        <v>#VALUE!</v>
      </c>
      <c r="CY216" s="1" t="str">
        <f t="shared" si="199"/>
        <v/>
      </c>
      <c r="CZ216" s="79" t="e">
        <f>IF(IF(COUNTIF($CZ$4:CZ215,CZ211)&gt;=MAX($D$4:$D$8),CZ211+5,CZ211)&gt;55,"",IF(COUNTIF($CZ$4:CZ215,CZ211)&gt;=MAX($D$4:$D$8),CZ211+5,CZ211))</f>
        <v>#VALUE!</v>
      </c>
      <c r="DA216" s="1" t="e">
        <f t="shared" si="183"/>
        <v>#VALUE!</v>
      </c>
      <c r="DB216" s="8" t="str">
        <f t="shared" si="200"/>
        <v/>
      </c>
    </row>
    <row r="217" spans="5:106" x14ac:dyDescent="0.15">
      <c r="E217" s="1">
        <v>214</v>
      </c>
      <c r="F217" s="1">
        <f t="shared" si="184"/>
        <v>1</v>
      </c>
      <c r="G217" s="1">
        <f t="shared" si="191"/>
        <v>1</v>
      </c>
      <c r="H217" s="1">
        <f t="shared" si="185"/>
        <v>1</v>
      </c>
      <c r="I217" s="1">
        <f t="shared" si="186"/>
        <v>1</v>
      </c>
      <c r="J217" s="1">
        <f t="shared" si="192"/>
        <v>1</v>
      </c>
      <c r="L217" s="1" t="str">
        <f>IF(ISERROR(HLOOKUP($C$10,$F$3:$J$253,215,0)),"",HLOOKUP($C$10,$F$3:$J$253,215,0))</f>
        <v/>
      </c>
      <c r="N217" s="67"/>
      <c r="W217" s="71" t="e">
        <f>IF(AA217="","",AA217*10+4)</f>
        <v>#VALUE!</v>
      </c>
      <c r="X217" s="71" t="str">
        <f>IF(OR(COUNTBLANK(AA217)=1,ISERROR(AA217)),"",COUNT(AA4:AA217))</f>
        <v/>
      </c>
      <c r="Y217" s="7" t="e">
        <f t="shared" si="157"/>
        <v>#VALUE!</v>
      </c>
      <c r="Z217" s="1" t="str">
        <f t="shared" si="171"/>
        <v/>
      </c>
      <c r="AA217" s="79" t="e">
        <f>IF(IF(COUNTIF(AA4:AA216,AA216)&gt;=MAX(D4:D8),AA216+1,AA216)&gt;50,"",IF(COUNTIF(AA4:AA216,AA216)&gt;=MAX(D4:D8),AA216+1,AA216))</f>
        <v>#VALUE!</v>
      </c>
      <c r="AB217" s="1" t="e">
        <f>IF(AA217="","",VLOOKUP(AA217,S4:U53,3,0))</f>
        <v>#VALUE!</v>
      </c>
      <c r="AC217" s="8" t="str">
        <f t="shared" si="158"/>
        <v/>
      </c>
      <c r="AE217" s="71" t="e">
        <f t="shared" si="159"/>
        <v>#VALUE!</v>
      </c>
      <c r="AF217" s="71" t="str">
        <f>IF(OR(COUNTBLANK(AI217)=1,ISERROR(AI217)),"",COUNT(AI4:AI217))</f>
        <v/>
      </c>
      <c r="AG217" s="7" t="e">
        <f t="shared" si="160"/>
        <v>#VALUE!</v>
      </c>
      <c r="AH217" s="1" t="str">
        <f>IF(ISERROR(INDEX(C4:C8,MATCH(G217,D4:D8,0))),"",INDEX(C4:C8,MATCH(G217,D4:D8,0)))</f>
        <v/>
      </c>
      <c r="AI217" s="79" t="e">
        <f>IF(IF(COUNTIF(AI4:AI215,AI215)&gt;=MAX(D4:D8),AI215+2,AI215)&gt;50,"",IF(COUNTIF(AI4:AI215,AI215)&gt;=MAX(D4:D8),AI215+2,AI215))</f>
        <v>#VALUE!</v>
      </c>
      <c r="AJ217" s="1" t="e">
        <f>IF(AI217="","",VLOOKUP(AI217,S4:U53,3,0))</f>
        <v>#VALUE!</v>
      </c>
      <c r="AK217" s="8" t="str">
        <f t="shared" si="161"/>
        <v/>
      </c>
      <c r="AM217" s="71" t="e">
        <f t="shared" si="162"/>
        <v>#VALUE!</v>
      </c>
      <c r="AN217" s="71" t="str">
        <f>IF(OR(COUNTBLANK(AQ217)=1,ISERROR(AQ217)),"",COUNT(AQ4:AQ217))</f>
        <v/>
      </c>
      <c r="AO217" s="7" t="e">
        <f t="shared" si="163"/>
        <v>#VALUE!</v>
      </c>
      <c r="AP217" s="1" t="str">
        <f>IF(ISERROR(INDEX(C4:C8,MATCH(H217,D4:D8,0))),"",INDEX(C4:C8,MATCH(H217,D4:D8,0)))</f>
        <v/>
      </c>
      <c r="AQ217" s="79" t="e">
        <f>IF(IF(COUNTIF(AQ4:AQ216,AQ214)&gt;=MAX(D4:D8),AQ214+3,AQ214)&gt;50,"",IF(COUNTIF(AQ4:AQ216,AQ214)&gt;=MAX(D4:D8),AQ214+3,AQ214))</f>
        <v>#VALUE!</v>
      </c>
      <c r="AR217" s="1" t="e">
        <f>IF(AQ217="","",VLOOKUP(AQ217,S4:U53,3,0))</f>
        <v>#VALUE!</v>
      </c>
      <c r="AS217" s="8" t="str">
        <f t="shared" si="164"/>
        <v/>
      </c>
      <c r="AU217" s="71" t="e">
        <f t="shared" si="165"/>
        <v>#VALUE!</v>
      </c>
      <c r="AV217" s="71" t="str">
        <f>IF(OR(COUNTBLANK(AY217)=1,ISERROR(AY217)),"",COUNT(AY4:AY217))</f>
        <v/>
      </c>
      <c r="AW217" s="7" t="e">
        <f t="shared" si="166"/>
        <v>#VALUE!</v>
      </c>
      <c r="AX217" s="1" t="str">
        <f>IF(ISERROR(INDEX(C4:C8,MATCH(I217,D4:D8,0))),"",INDEX(C4:C8,MATCH(I217,D4:D8,0)))</f>
        <v/>
      </c>
      <c r="AY217" s="79" t="e">
        <f>IF(IF(COUNTIF(AY4:AY216,AY213)&gt;=MAX(D4:D8),AY213+4,AY213)&gt;50,"",IF(COUNTIF(AY4:AY216,AY213)&gt;=MAX(D4:D8),AY213+4,AY213))</f>
        <v>#VALUE!</v>
      </c>
      <c r="AZ217" s="76" t="e">
        <f>IF(AY217="","",VLOOKUP(AY217,S4:U53,3,0))</f>
        <v>#VALUE!</v>
      </c>
      <c r="BA217" s="8" t="str">
        <f t="shared" si="167"/>
        <v/>
      </c>
      <c r="BC217" s="71" t="e">
        <f t="shared" si="168"/>
        <v>#VALUE!</v>
      </c>
      <c r="BD217" s="71" t="str">
        <f>IF(OR(COUNTBLANK(BG217)=1,ISERROR(BG217)),"",COUNT(BG4:BG217))</f>
        <v/>
      </c>
      <c r="BE217" s="7" t="e">
        <f t="shared" si="169"/>
        <v>#VALUE!</v>
      </c>
      <c r="BF217" s="1" t="str">
        <f>IF(ISERROR(INDEX(C4:C8,MATCH(J217,D4:D8,0))),"",INDEX(C4:C8,MATCH(J217,D4:D8,0)))</f>
        <v/>
      </c>
      <c r="BG217" s="79" t="e">
        <f>IF(IF(COUNTIF(BG4:BG216,BG212)&gt;=MAX(D4:D8),BG212+5,BG212)&gt;50,"",IF(COUNTIF(BG4:BG216,BG212)&gt;=MAX(D4:D8),BG212+5,BG212))</f>
        <v>#VALUE!</v>
      </c>
      <c r="BH217" s="76" t="e">
        <f>IF(BG217="","",VLOOKUP(BG217,S4:U53,3,0))</f>
        <v>#VALUE!</v>
      </c>
      <c r="BI217" s="8" t="str">
        <f t="shared" si="170"/>
        <v/>
      </c>
      <c r="BP217" s="71" t="e">
        <f>IF(BT217="","",BT217*10+4)</f>
        <v>#VALUE!</v>
      </c>
      <c r="BQ217" s="71" t="str">
        <f>IF(OR(COUNTBLANK(BT217)=1,ISERROR(BT217)),"",COUNT(BT4:BT217))</f>
        <v/>
      </c>
      <c r="BR217" s="7" t="e">
        <f t="shared" si="172"/>
        <v>#VALUE!</v>
      </c>
      <c r="BS217" s="1" t="str">
        <f t="shared" si="173"/>
        <v/>
      </c>
      <c r="BT217" s="79" t="e">
        <f>IF(IF(COUNTIF($BT$4:BT216,BT216)&gt;=MAX($D$4:$D$8),BT216+1,BT216)&gt;55,"",IF(COUNTIF($BT$4:BT216,BT216)&gt;=MAX($D$4:$D$8),BT216+1,BT216))</f>
        <v>#VALUE!</v>
      </c>
      <c r="BU217" s="1" t="e">
        <f t="shared" si="174"/>
        <v>#VALUE!</v>
      </c>
      <c r="BV217" s="8" t="str">
        <f t="shared" si="175"/>
        <v/>
      </c>
      <c r="BX217" s="71" t="e">
        <f t="shared" si="176"/>
        <v>#VALUE!</v>
      </c>
      <c r="BY217" s="71" t="str">
        <f>IF(OR(COUNTBLANK(CB217)=1,ISERROR(CB217)),"",COUNT($CB$4:CB217))</f>
        <v/>
      </c>
      <c r="BZ217" s="7" t="e">
        <f t="shared" si="177"/>
        <v>#VALUE!</v>
      </c>
      <c r="CA217" s="1" t="str">
        <f t="shared" si="178"/>
        <v/>
      </c>
      <c r="CB217" s="79" t="e">
        <f>IF(IF(COUNTIF($CB$4:CB216,CB215)&gt;=MAX($D$4:$D$8),CB215+2,CB215)&gt;55,"",IF(COUNTIF($CB$4:CB216,CB215)&gt;=MAX($D$4:$D$8),CB215+2,CB215))</f>
        <v>#VALUE!</v>
      </c>
      <c r="CC217" s="1" t="e">
        <f t="shared" si="179"/>
        <v>#VALUE!</v>
      </c>
      <c r="CD217" s="8" t="str">
        <f t="shared" si="180"/>
        <v/>
      </c>
      <c r="CF217" s="71" t="e">
        <f t="shared" si="193"/>
        <v>#VALUE!</v>
      </c>
      <c r="CG217" s="71" t="str">
        <f>IF(OR(COUNTBLANK(CJ217)=1,ISERROR(CJ217)),"",COUNT($CJ$4:CJ217))</f>
        <v/>
      </c>
      <c r="CH217" s="7" t="e">
        <f t="shared" si="194"/>
        <v>#VALUE!</v>
      </c>
      <c r="CI217" s="1" t="str">
        <f t="shared" si="195"/>
        <v/>
      </c>
      <c r="CJ217" s="79" t="e">
        <f>IF(IF(COUNTIF($CJ$4:CJ216,CJ214)&gt;=MAX($D$4:$D$8),CJ214+3,CJ214)&gt;55,"",IF(COUNTIF($CJ$4:CJ216,CJ214)&gt;=MAX($D$4:$D$8),CJ214+3,CJ214))</f>
        <v>#VALUE!</v>
      </c>
      <c r="CK217" s="1" t="e">
        <f t="shared" si="181"/>
        <v>#VALUE!</v>
      </c>
      <c r="CL217" s="8" t="str">
        <f t="shared" si="196"/>
        <v/>
      </c>
      <c r="CN217" s="71" t="e">
        <f t="shared" si="187"/>
        <v>#VALUE!</v>
      </c>
      <c r="CO217" s="71" t="str">
        <f>IF(OR(COUNTBLANK(CR217)=1,ISERROR(CR217)),"",COUNT($CR$4:CR217))</f>
        <v/>
      </c>
      <c r="CP217" s="7" t="e">
        <f t="shared" si="188"/>
        <v>#VALUE!</v>
      </c>
      <c r="CQ217" s="1" t="str">
        <f t="shared" si="189"/>
        <v/>
      </c>
      <c r="CR217" s="79" t="e">
        <f>IF(IF(COUNTIF($CR$4:CR216,CR213)&gt;=MAX($D$4:$D$8),CR213+4,CR213)&gt;55,"",IF(COUNTIF($CR$4:CR216,CR213)&gt;=MAX($D$4:$D$8),CR213+4,CR213))</f>
        <v>#VALUE!</v>
      </c>
      <c r="CS217" s="1" t="e">
        <f t="shared" si="182"/>
        <v>#VALUE!</v>
      </c>
      <c r="CT217" s="8" t="str">
        <f t="shared" si="190"/>
        <v/>
      </c>
      <c r="CV217" s="71" t="e">
        <f t="shared" si="197"/>
        <v>#VALUE!</v>
      </c>
      <c r="CW217" s="71" t="str">
        <f>IF(OR(COUNTBLANK(CZ217)=1,ISERROR(CZ217)),"",COUNT($CZ$4:CZ217))</f>
        <v/>
      </c>
      <c r="CX217" s="7" t="e">
        <f t="shared" si="198"/>
        <v>#VALUE!</v>
      </c>
      <c r="CY217" s="1" t="str">
        <f t="shared" si="199"/>
        <v/>
      </c>
      <c r="CZ217" s="79" t="e">
        <f>IF(IF(COUNTIF($CZ$4:CZ216,CZ212)&gt;=MAX($D$4:$D$8),CZ212+5,CZ212)&gt;55,"",IF(COUNTIF($CZ$4:CZ216,CZ212)&gt;=MAX($D$4:$D$8),CZ212+5,CZ212))</f>
        <v>#VALUE!</v>
      </c>
      <c r="DA217" s="1" t="e">
        <f t="shared" si="183"/>
        <v>#VALUE!</v>
      </c>
      <c r="DB217" s="8" t="str">
        <f t="shared" si="200"/>
        <v/>
      </c>
    </row>
    <row r="218" spans="5:106" x14ac:dyDescent="0.15">
      <c r="E218" s="1">
        <v>215</v>
      </c>
      <c r="F218" s="1">
        <f t="shared" si="184"/>
        <v>1</v>
      </c>
      <c r="G218" s="1">
        <f t="shared" si="191"/>
        <v>1</v>
      </c>
      <c r="H218" s="1">
        <f t="shared" si="185"/>
        <v>1</v>
      </c>
      <c r="I218" s="1">
        <f t="shared" si="186"/>
        <v>1</v>
      </c>
      <c r="J218" s="1">
        <f t="shared" si="192"/>
        <v>1</v>
      </c>
      <c r="L218" s="1" t="str">
        <f>IF(ISERROR(HLOOKUP($C$10,$F$3:$J$253,216,0)),"",HLOOKUP($C$10,$F$3:$J$253,216,0))</f>
        <v/>
      </c>
      <c r="N218" s="67"/>
      <c r="W218" s="71" t="e">
        <f>IF(AA218="","",AA218*10+5)</f>
        <v>#VALUE!</v>
      </c>
      <c r="X218" s="71" t="str">
        <f>IF(OR(COUNTBLANK(AA218)=1,ISERROR(AA218)),"",COUNT(AA4:AA218))</f>
        <v/>
      </c>
      <c r="Y218" s="7" t="e">
        <f t="shared" si="157"/>
        <v>#VALUE!</v>
      </c>
      <c r="Z218" s="1" t="str">
        <f t="shared" si="171"/>
        <v/>
      </c>
      <c r="AA218" s="79" t="e">
        <f>IF(IF(COUNTIF(AA4:AA217,AA217)&gt;=MAX(D4:D8),AA217+1,AA217)&gt;50,"",IF(COUNTIF(AA4:AA217,AA217)&gt;=MAX(D4:D8),AA217+1,AA217))</f>
        <v>#VALUE!</v>
      </c>
      <c r="AB218" s="1" t="e">
        <f>IF(AA218="","",VLOOKUP(AA218,S4:U53,3,0))</f>
        <v>#VALUE!</v>
      </c>
      <c r="AC218" s="8" t="str">
        <f t="shared" si="158"/>
        <v/>
      </c>
      <c r="AE218" s="71" t="e">
        <f t="shared" si="159"/>
        <v>#VALUE!</v>
      </c>
      <c r="AF218" s="71" t="str">
        <f>IF(OR(COUNTBLANK(AI218)=1,ISERROR(AI218)),"",COUNT(AI4:AI218))</f>
        <v/>
      </c>
      <c r="AG218" s="7" t="e">
        <f t="shared" si="160"/>
        <v>#VALUE!</v>
      </c>
      <c r="AH218" s="1" t="str">
        <f>IF(ISERROR(INDEX(C4:C8,MATCH(G218,D4:D8,0))),"",INDEX(C4:C8,MATCH(G218,D4:D8,0)))</f>
        <v/>
      </c>
      <c r="AI218" s="79" t="e">
        <f>IF(IF(COUNTIF(AI4:AI217,AI216)&gt;=MAX(D4:D8),AI216+2,AI216)&gt;50,"",IF(COUNTIF(AI4:AI217,AI216)&gt;=MAX(D4:D8),AI216+2,AI216))</f>
        <v>#VALUE!</v>
      </c>
      <c r="AJ218" s="1" t="e">
        <f>IF(AI218="","",VLOOKUP(AI218,S4:U53,3,0))</f>
        <v>#VALUE!</v>
      </c>
      <c r="AK218" s="8" t="str">
        <f t="shared" si="161"/>
        <v/>
      </c>
      <c r="AM218" s="71" t="e">
        <f t="shared" si="162"/>
        <v>#VALUE!</v>
      </c>
      <c r="AN218" s="71" t="str">
        <f>IF(OR(COUNTBLANK(AQ218)=1,ISERROR(AQ218)),"",COUNT(AQ4:AQ218))</f>
        <v/>
      </c>
      <c r="AO218" s="7" t="e">
        <f t="shared" si="163"/>
        <v>#VALUE!</v>
      </c>
      <c r="AP218" s="1" t="str">
        <f>IF(ISERROR(INDEX(C4:C8,MATCH(H218,D4:D8,0))),"",INDEX(C4:C8,MATCH(H218,D4:D8,0)))</f>
        <v/>
      </c>
      <c r="AQ218" s="79" t="e">
        <f>IF(IF(COUNTIF(AQ4:AQ217,AQ215)&gt;=MAX(D4:D8),AQ215+3,AQ215)&gt;50,"",IF(COUNTIF(AQ4:AQ217,AQ215)&gt;=MAX(D4:D8),AQ215+3,AQ215))</f>
        <v>#VALUE!</v>
      </c>
      <c r="AR218" s="1" t="e">
        <f>IF(AQ218="","",VLOOKUP(AQ218,S4:U53,3,0))</f>
        <v>#VALUE!</v>
      </c>
      <c r="AS218" s="8" t="str">
        <f t="shared" si="164"/>
        <v/>
      </c>
      <c r="AU218" s="71" t="e">
        <f t="shared" si="165"/>
        <v>#VALUE!</v>
      </c>
      <c r="AV218" s="71" t="str">
        <f>IF(OR(COUNTBLANK(AY218)=1,ISERROR(AY218)),"",COUNT(AY4:AY218))</f>
        <v/>
      </c>
      <c r="AW218" s="7" t="e">
        <f t="shared" si="166"/>
        <v>#VALUE!</v>
      </c>
      <c r="AX218" s="1" t="str">
        <f>IF(ISERROR(INDEX(C4:C8,MATCH(I218,D4:D8,0))),"",INDEX(C4:C8,MATCH(I218,D4:D8,0)))</f>
        <v/>
      </c>
      <c r="AY218" s="79" t="e">
        <f>IF(IF(COUNTIF(AY4:AY217,AY214)&gt;=MAX(D4:D8),AY214+4,AY214)&gt;50,"",IF(COUNTIF(AY4:AY217,AY214)&gt;=MAX(D4:D8),AY214+4,AY214))</f>
        <v>#VALUE!</v>
      </c>
      <c r="AZ218" s="76" t="e">
        <f>IF(AY218="","",VLOOKUP(AY218,S4:U53,3,0))</f>
        <v>#VALUE!</v>
      </c>
      <c r="BA218" s="8" t="str">
        <f t="shared" si="167"/>
        <v/>
      </c>
      <c r="BC218" s="71" t="e">
        <f t="shared" si="168"/>
        <v>#VALUE!</v>
      </c>
      <c r="BD218" s="71" t="str">
        <f>IF(OR(COUNTBLANK(BG218)=1,ISERROR(BG218)),"",COUNT(BG4:BG218))</f>
        <v/>
      </c>
      <c r="BE218" s="7" t="e">
        <f t="shared" si="169"/>
        <v>#VALUE!</v>
      </c>
      <c r="BF218" s="1" t="str">
        <f>IF(ISERROR(INDEX(C4:C8,MATCH(J218,D4:D8,0))),"",INDEX(C4:C8,MATCH(J218,D4:D8,0)))</f>
        <v/>
      </c>
      <c r="BG218" s="79" t="e">
        <f>IF(IF(COUNTIF(BG4:BG217,BG213)&gt;=MAX(D4:D8),BG213+5,BG213)&gt;50,"",IF(COUNTIF(BG4:BG217,BG213)&gt;=MAX(D4:D8),BG213+5,BG213))</f>
        <v>#VALUE!</v>
      </c>
      <c r="BH218" s="76" t="e">
        <f>IF(BG218="","",VLOOKUP(BG218,S4:U53,3,0))</f>
        <v>#VALUE!</v>
      </c>
      <c r="BI218" s="8" t="str">
        <f t="shared" si="170"/>
        <v/>
      </c>
      <c r="BP218" s="71" t="e">
        <f>IF(BT218="","",BT218*10+5)</f>
        <v>#VALUE!</v>
      </c>
      <c r="BQ218" s="71" t="str">
        <f>IF(OR(COUNTBLANK(BT218)=1,ISERROR(BT218)),"",COUNT(BT4:BT218))</f>
        <v/>
      </c>
      <c r="BR218" s="7" t="e">
        <f t="shared" si="172"/>
        <v>#VALUE!</v>
      </c>
      <c r="BS218" s="1" t="str">
        <f t="shared" si="173"/>
        <v/>
      </c>
      <c r="BT218" s="79" t="e">
        <f>IF(IF(COUNTIF($BT$4:BT217,BT217)&gt;=MAX($D$4:$D$8),BT217+1,BT217)&gt;55,"",IF(COUNTIF($BT$4:BT217,BT217)&gt;=MAX($D$4:$D$8),BT217+1,BT217))</f>
        <v>#VALUE!</v>
      </c>
      <c r="BU218" s="1" t="e">
        <f t="shared" si="174"/>
        <v>#VALUE!</v>
      </c>
      <c r="BV218" s="8" t="str">
        <f t="shared" si="175"/>
        <v/>
      </c>
      <c r="BX218" s="71" t="e">
        <f t="shared" si="176"/>
        <v>#VALUE!</v>
      </c>
      <c r="BY218" s="71" t="str">
        <f>IF(OR(COUNTBLANK(CB218)=1,ISERROR(CB218)),"",COUNT($CB$4:CB218))</f>
        <v/>
      </c>
      <c r="BZ218" s="7" t="e">
        <f t="shared" si="177"/>
        <v>#VALUE!</v>
      </c>
      <c r="CA218" s="1" t="str">
        <f t="shared" si="178"/>
        <v/>
      </c>
      <c r="CB218" s="79" t="e">
        <f>IF(IF(COUNTIF($CB$4:CB217,CB216)&gt;=MAX($D$4:$D$8),CB216+2,CB216)&gt;55,"",IF(COUNTIF($CB$4:CB217,CB216)&gt;=MAX($D$4:$D$8),CB216+2,CB216))</f>
        <v>#VALUE!</v>
      </c>
      <c r="CC218" s="1" t="e">
        <f t="shared" si="179"/>
        <v>#VALUE!</v>
      </c>
      <c r="CD218" s="8" t="str">
        <f t="shared" si="180"/>
        <v/>
      </c>
      <c r="CF218" s="71" t="e">
        <f t="shared" si="193"/>
        <v>#VALUE!</v>
      </c>
      <c r="CG218" s="71" t="str">
        <f>IF(OR(COUNTBLANK(CJ218)=1,ISERROR(CJ218)),"",COUNT($CJ$4:CJ218))</f>
        <v/>
      </c>
      <c r="CH218" s="7" t="e">
        <f t="shared" si="194"/>
        <v>#VALUE!</v>
      </c>
      <c r="CI218" s="1" t="str">
        <f t="shared" si="195"/>
        <v/>
      </c>
      <c r="CJ218" s="79" t="e">
        <f>IF(IF(COUNTIF($CJ$4:CJ217,CJ215)&gt;=MAX($D$4:$D$8),CJ215+3,CJ215)&gt;55,"",IF(COUNTIF($CJ$4:CJ217,CJ215)&gt;=MAX($D$4:$D$8),CJ215+3,CJ215))</f>
        <v>#VALUE!</v>
      </c>
      <c r="CK218" s="1" t="e">
        <f t="shared" si="181"/>
        <v>#VALUE!</v>
      </c>
      <c r="CL218" s="8" t="str">
        <f t="shared" si="196"/>
        <v/>
      </c>
      <c r="CN218" s="71" t="e">
        <f t="shared" si="187"/>
        <v>#VALUE!</v>
      </c>
      <c r="CO218" s="71" t="str">
        <f>IF(OR(COUNTBLANK(CR218)=1,ISERROR(CR218)),"",COUNT($CR$4:CR218))</f>
        <v/>
      </c>
      <c r="CP218" s="7" t="e">
        <f t="shared" si="188"/>
        <v>#VALUE!</v>
      </c>
      <c r="CQ218" s="1" t="str">
        <f t="shared" si="189"/>
        <v/>
      </c>
      <c r="CR218" s="79" t="e">
        <f>IF(IF(COUNTIF($CR$4:CR217,CR214)&gt;=MAX($D$4:$D$8),CR214+4,CR214)&gt;55,"",IF(COUNTIF($CR$4:CR217,CR214)&gt;=MAX($D$4:$D$8),CR214+4,CR214))</f>
        <v>#VALUE!</v>
      </c>
      <c r="CS218" s="1" t="e">
        <f t="shared" si="182"/>
        <v>#VALUE!</v>
      </c>
      <c r="CT218" s="8" t="str">
        <f t="shared" si="190"/>
        <v/>
      </c>
      <c r="CV218" s="71" t="e">
        <f t="shared" si="197"/>
        <v>#VALUE!</v>
      </c>
      <c r="CW218" s="71" t="str">
        <f>IF(OR(COUNTBLANK(CZ218)=1,ISERROR(CZ218)),"",COUNT($CZ$4:CZ218))</f>
        <v/>
      </c>
      <c r="CX218" s="7" t="e">
        <f t="shared" si="198"/>
        <v>#VALUE!</v>
      </c>
      <c r="CY218" s="1" t="str">
        <f t="shared" si="199"/>
        <v/>
      </c>
      <c r="CZ218" s="79" t="e">
        <f>IF(IF(COUNTIF($CZ$4:CZ217,CZ213)&gt;=MAX($D$4:$D$8),CZ213+5,CZ213)&gt;55,"",IF(COUNTIF($CZ$4:CZ217,CZ213)&gt;=MAX($D$4:$D$8),CZ213+5,CZ213))</f>
        <v>#VALUE!</v>
      </c>
      <c r="DA218" s="1" t="e">
        <f t="shared" si="183"/>
        <v>#VALUE!</v>
      </c>
      <c r="DB218" s="8" t="str">
        <f t="shared" si="200"/>
        <v/>
      </c>
    </row>
    <row r="219" spans="5:106" x14ac:dyDescent="0.15">
      <c r="E219" s="1">
        <v>216</v>
      </c>
      <c r="F219" s="1">
        <f t="shared" si="184"/>
        <v>1</v>
      </c>
      <c r="G219" s="1">
        <f t="shared" si="191"/>
        <v>1</v>
      </c>
      <c r="H219" s="1">
        <f t="shared" si="185"/>
        <v>1</v>
      </c>
      <c r="I219" s="1">
        <f t="shared" si="186"/>
        <v>1</v>
      </c>
      <c r="J219" s="1">
        <f t="shared" si="192"/>
        <v>1</v>
      </c>
      <c r="L219" s="1" t="str">
        <f>IF(ISERROR(HLOOKUP($C$10,$F$3:$J$253,217,0)),"",HLOOKUP($C$10,$F$3:$J$253,217,0))</f>
        <v/>
      </c>
      <c r="N219" s="67"/>
      <c r="W219" s="71" t="e">
        <f>IF(AA219="","",AA219*10+1)</f>
        <v>#VALUE!</v>
      </c>
      <c r="X219" s="71" t="str">
        <f>IF(OR(COUNTBLANK(AA219)=1,ISERROR(AA219)),"",COUNT(AA4:AA219))</f>
        <v/>
      </c>
      <c r="Y219" s="7" t="e">
        <f t="shared" si="157"/>
        <v>#VALUE!</v>
      </c>
      <c r="Z219" s="1" t="str">
        <f t="shared" si="171"/>
        <v/>
      </c>
      <c r="AA219" s="79" t="e">
        <f>IF(IF(COUNTIF(AA4:AA218,AA218)&gt;=MAX(D4:D8),AA218+1,AA218)&gt;50,"",IF(COUNTIF(AA4:AA218,AA218)&gt;=MAX(D4:D8),AA218+1,AA218))</f>
        <v>#VALUE!</v>
      </c>
      <c r="AB219" s="1" t="e">
        <f>IF(AA219="","",VLOOKUP(AA219,S4:U53,3,0))</f>
        <v>#VALUE!</v>
      </c>
      <c r="AC219" s="8" t="str">
        <f t="shared" si="158"/>
        <v/>
      </c>
      <c r="AE219" s="71" t="e">
        <f t="shared" si="159"/>
        <v>#VALUE!</v>
      </c>
      <c r="AF219" s="71" t="str">
        <f>IF(OR(COUNTBLANK(AI219)=1,ISERROR(AI219)),"",COUNT(AI4:AI219))</f>
        <v/>
      </c>
      <c r="AG219" s="7" t="e">
        <f t="shared" si="160"/>
        <v>#VALUE!</v>
      </c>
      <c r="AH219" s="1" t="str">
        <f>IF(ISERROR(INDEX(C4:C8,MATCH(G219,D4:D8,0))),"",INDEX(C4:C8,MATCH(G219,D4:D8,0)))</f>
        <v/>
      </c>
      <c r="AI219" s="79" t="e">
        <f>IF(IF(COUNTIF(AI4:AI217,AI217)&gt;=MAX(D4:D8),AI217+2,AI217)&gt;50,"",IF(COUNTIF(AI4:AI217,AI217)&gt;=MAX(D4:D8),AI217+2,AI217))</f>
        <v>#VALUE!</v>
      </c>
      <c r="AJ219" s="1" t="e">
        <f>IF(AI219="","",VLOOKUP(AI219,S4:U53,3,0))</f>
        <v>#VALUE!</v>
      </c>
      <c r="AK219" s="8" t="str">
        <f t="shared" si="161"/>
        <v/>
      </c>
      <c r="AM219" s="71" t="e">
        <f t="shared" si="162"/>
        <v>#VALUE!</v>
      </c>
      <c r="AN219" s="71" t="str">
        <f>IF(OR(COUNTBLANK(AQ219)=1,ISERROR(AQ219)),"",COUNT(AQ4:AQ219))</f>
        <v/>
      </c>
      <c r="AO219" s="7" t="e">
        <f t="shared" si="163"/>
        <v>#VALUE!</v>
      </c>
      <c r="AP219" s="1" t="str">
        <f>IF(ISERROR(INDEX(C4:C8,MATCH(H219,D4:D8,0))),"",INDEX(C4:C8,MATCH(H219,D4:D8,0)))</f>
        <v/>
      </c>
      <c r="AQ219" s="79" t="e">
        <f>IF(IF(COUNTIF(AQ4:AQ218,AQ216)&gt;=MAX(D4:D8),AQ216+3,AQ216)&gt;50,"",IF(COUNTIF(AQ4:AQ218,AQ216)&gt;=MAX(D4:D8),AQ216+3,AQ216))</f>
        <v>#VALUE!</v>
      </c>
      <c r="AR219" s="1" t="e">
        <f>IF(AQ219="","",VLOOKUP(AQ219,S4:U53,3,0))</f>
        <v>#VALUE!</v>
      </c>
      <c r="AS219" s="8" t="str">
        <f t="shared" si="164"/>
        <v/>
      </c>
      <c r="AU219" s="71" t="e">
        <f t="shared" si="165"/>
        <v>#VALUE!</v>
      </c>
      <c r="AV219" s="71" t="str">
        <f>IF(OR(COUNTBLANK(AY219)=1,ISERROR(AY219)),"",COUNT(AY4:AY219))</f>
        <v/>
      </c>
      <c r="AW219" s="7" t="e">
        <f t="shared" si="166"/>
        <v>#VALUE!</v>
      </c>
      <c r="AX219" s="1" t="str">
        <f>IF(ISERROR(INDEX(C4:C8,MATCH(I219,D4:D8,0))),"",INDEX(C4:C8,MATCH(I219,D4:D8,0)))</f>
        <v/>
      </c>
      <c r="AY219" s="79" t="e">
        <f>IF(IF(COUNTIF(AY4:AY218,AY215)&gt;=MAX(D4:D8),AY215+4,AY215)&gt;50,"",IF(COUNTIF(AY4:AY218,AY215)&gt;=MAX(D4:D8),AY215+4,AY215))</f>
        <v>#VALUE!</v>
      </c>
      <c r="AZ219" s="76" t="e">
        <f>IF(AY219="","",VLOOKUP(AY219,S4:U53,3,0))</f>
        <v>#VALUE!</v>
      </c>
      <c r="BA219" s="8" t="str">
        <f t="shared" si="167"/>
        <v/>
      </c>
      <c r="BC219" s="71" t="e">
        <f t="shared" si="168"/>
        <v>#VALUE!</v>
      </c>
      <c r="BD219" s="71" t="str">
        <f>IF(OR(COUNTBLANK(BG219)=1,ISERROR(BG219)),"",COUNT(BG4:BG219))</f>
        <v/>
      </c>
      <c r="BE219" s="7" t="e">
        <f t="shared" si="169"/>
        <v>#VALUE!</v>
      </c>
      <c r="BF219" s="1" t="str">
        <f>IF(ISERROR(INDEX(C4:C8,MATCH(J219,D4:D8,0))),"",INDEX(C4:C8,MATCH(J219,D4:D8,0)))</f>
        <v/>
      </c>
      <c r="BG219" s="79" t="e">
        <f>IF(IF(COUNTIF(BG4:BG218,BG214)&gt;=MAX(D4:D8),BG214+5,BG214)&gt;50,"",IF(COUNTIF(BG4:BG218,BG214)&gt;=MAX(D4:D8),BG214+5,BG214))</f>
        <v>#VALUE!</v>
      </c>
      <c r="BH219" s="76" t="e">
        <f>IF(BG219="","",VLOOKUP(BG219,S4:U53,3,0))</f>
        <v>#VALUE!</v>
      </c>
      <c r="BI219" s="8" t="str">
        <f t="shared" si="170"/>
        <v/>
      </c>
      <c r="BP219" s="71" t="e">
        <f>IF(BT219="","",BT219*10+1)</f>
        <v>#VALUE!</v>
      </c>
      <c r="BQ219" s="71" t="str">
        <f>IF(OR(COUNTBLANK(BT219)=1,ISERROR(BT219)),"",COUNT(BT4:BT219))</f>
        <v/>
      </c>
      <c r="BR219" s="7" t="e">
        <f t="shared" si="172"/>
        <v>#VALUE!</v>
      </c>
      <c r="BS219" s="1" t="str">
        <f t="shared" si="173"/>
        <v/>
      </c>
      <c r="BT219" s="79" t="e">
        <f>IF(IF(COUNTIF($BT$4:BT218,BT218)&gt;=MAX($D$4:$D$8),BT218+1,BT218)&gt;55,"",IF(COUNTIF($BT$4:BT218,BT218)&gt;=MAX($D$4:$D$8),BT218+1,BT218))</f>
        <v>#VALUE!</v>
      </c>
      <c r="BU219" s="1" t="e">
        <f t="shared" si="174"/>
        <v>#VALUE!</v>
      </c>
      <c r="BV219" s="8" t="str">
        <f t="shared" si="175"/>
        <v/>
      </c>
      <c r="BX219" s="71" t="e">
        <f t="shared" si="176"/>
        <v>#VALUE!</v>
      </c>
      <c r="BY219" s="71" t="str">
        <f>IF(OR(COUNTBLANK(CB219)=1,ISERROR(CB219)),"",COUNT($CB$4:CB219))</f>
        <v/>
      </c>
      <c r="BZ219" s="7" t="e">
        <f t="shared" si="177"/>
        <v>#VALUE!</v>
      </c>
      <c r="CA219" s="1" t="str">
        <f t="shared" si="178"/>
        <v/>
      </c>
      <c r="CB219" s="79" t="e">
        <f>IF(IF(COUNTIF($CB$4:CB218,CB217)&gt;=MAX($D$4:$D$8),CB217+2,CB217)&gt;55,"",IF(COUNTIF($CB$4:CB218,CB217)&gt;=MAX($D$4:$D$8),CB217+2,CB217))</f>
        <v>#VALUE!</v>
      </c>
      <c r="CC219" s="1" t="e">
        <f t="shared" si="179"/>
        <v>#VALUE!</v>
      </c>
      <c r="CD219" s="8" t="str">
        <f t="shared" si="180"/>
        <v/>
      </c>
      <c r="CF219" s="71" t="e">
        <f t="shared" si="193"/>
        <v>#VALUE!</v>
      </c>
      <c r="CG219" s="71" t="str">
        <f>IF(OR(COUNTBLANK(CJ219)=1,ISERROR(CJ219)),"",COUNT($CJ$4:CJ219))</f>
        <v/>
      </c>
      <c r="CH219" s="7" t="e">
        <f t="shared" si="194"/>
        <v>#VALUE!</v>
      </c>
      <c r="CI219" s="1" t="str">
        <f t="shared" si="195"/>
        <v/>
      </c>
      <c r="CJ219" s="79" t="e">
        <f>IF(IF(COUNTIF($CJ$4:CJ218,CJ216)&gt;=MAX($D$4:$D$8),CJ216+3,CJ216)&gt;55,"",IF(COUNTIF($CJ$4:CJ218,CJ216)&gt;=MAX($D$4:$D$8),CJ216+3,CJ216))</f>
        <v>#VALUE!</v>
      </c>
      <c r="CK219" s="1" t="e">
        <f t="shared" si="181"/>
        <v>#VALUE!</v>
      </c>
      <c r="CL219" s="8" t="str">
        <f t="shared" si="196"/>
        <v/>
      </c>
      <c r="CN219" s="71" t="e">
        <f t="shared" si="187"/>
        <v>#VALUE!</v>
      </c>
      <c r="CO219" s="71" t="str">
        <f>IF(OR(COUNTBLANK(CR219)=1,ISERROR(CR219)),"",COUNT($CR$4:CR219))</f>
        <v/>
      </c>
      <c r="CP219" s="7" t="e">
        <f t="shared" si="188"/>
        <v>#VALUE!</v>
      </c>
      <c r="CQ219" s="1" t="str">
        <f t="shared" si="189"/>
        <v/>
      </c>
      <c r="CR219" s="79" t="e">
        <f>IF(IF(COUNTIF($CR$4:CR218,CR215)&gt;=MAX($D$4:$D$8),CR215+4,CR215)&gt;55,"",IF(COUNTIF($CR$4:CR218,CR215)&gt;=MAX($D$4:$D$8),CR215+4,CR215))</f>
        <v>#VALUE!</v>
      </c>
      <c r="CS219" s="1" t="e">
        <f t="shared" si="182"/>
        <v>#VALUE!</v>
      </c>
      <c r="CT219" s="8" t="str">
        <f t="shared" si="190"/>
        <v/>
      </c>
      <c r="CV219" s="71" t="e">
        <f t="shared" si="197"/>
        <v>#VALUE!</v>
      </c>
      <c r="CW219" s="71" t="str">
        <f>IF(OR(COUNTBLANK(CZ219)=1,ISERROR(CZ219)),"",COUNT($CZ$4:CZ219))</f>
        <v/>
      </c>
      <c r="CX219" s="7" t="e">
        <f t="shared" si="198"/>
        <v>#VALUE!</v>
      </c>
      <c r="CY219" s="1" t="str">
        <f t="shared" si="199"/>
        <v/>
      </c>
      <c r="CZ219" s="79" t="e">
        <f>IF(IF(COUNTIF($CZ$4:CZ218,CZ214)&gt;=MAX($D$4:$D$8),CZ214+5,CZ214)&gt;55,"",IF(COUNTIF($CZ$4:CZ218,CZ214)&gt;=MAX($D$4:$D$8),CZ214+5,CZ214))</f>
        <v>#VALUE!</v>
      </c>
      <c r="DA219" s="1" t="e">
        <f t="shared" si="183"/>
        <v>#VALUE!</v>
      </c>
      <c r="DB219" s="8" t="str">
        <f t="shared" si="200"/>
        <v/>
      </c>
    </row>
    <row r="220" spans="5:106" x14ac:dyDescent="0.15">
      <c r="E220" s="1">
        <v>217</v>
      </c>
      <c r="F220" s="1">
        <f t="shared" si="184"/>
        <v>1</v>
      </c>
      <c r="G220" s="1">
        <f t="shared" si="191"/>
        <v>1</v>
      </c>
      <c r="H220" s="1">
        <f t="shared" si="185"/>
        <v>1</v>
      </c>
      <c r="I220" s="1">
        <f t="shared" si="186"/>
        <v>1</v>
      </c>
      <c r="J220" s="1">
        <f t="shared" si="192"/>
        <v>1</v>
      </c>
      <c r="L220" s="1" t="str">
        <f>IF(ISERROR(HLOOKUP($C$10,$F$3:$J$253,218,0)),"",HLOOKUP($C$10,$F$3:$J$253,218,0))</f>
        <v/>
      </c>
      <c r="N220" s="67"/>
      <c r="W220" s="71" t="e">
        <f>IF(AA220="","",AA220*10+2)</f>
        <v>#VALUE!</v>
      </c>
      <c r="X220" s="71" t="str">
        <f>IF(OR(COUNTBLANK(AA220)=1,ISERROR(AA220)),"",COUNT(AA4:AA220))</f>
        <v/>
      </c>
      <c r="Y220" s="7" t="e">
        <f t="shared" si="157"/>
        <v>#VALUE!</v>
      </c>
      <c r="Z220" s="1" t="str">
        <f t="shared" si="171"/>
        <v/>
      </c>
      <c r="AA220" s="79" t="e">
        <f>IF(IF(COUNTIF(AA4:AA219,AA219)&gt;=MAX(D4:D8),AA219+1,AA219)&gt;50,"",IF(COUNTIF(AA4:AA219,AA219)&gt;=MAX(D4:D8),AA219+1,AA219))</f>
        <v>#VALUE!</v>
      </c>
      <c r="AB220" s="1" t="e">
        <f>IF(AA220="","",VLOOKUP(AA220,S4:U53,3,0))</f>
        <v>#VALUE!</v>
      </c>
      <c r="AC220" s="8" t="str">
        <f t="shared" si="158"/>
        <v/>
      </c>
      <c r="AE220" s="71" t="e">
        <f t="shared" si="159"/>
        <v>#VALUE!</v>
      </c>
      <c r="AF220" s="71" t="str">
        <f>IF(OR(COUNTBLANK(AI220)=1,ISERROR(AI220)),"",COUNT(AI4:AI220))</f>
        <v/>
      </c>
      <c r="AG220" s="7" t="e">
        <f t="shared" si="160"/>
        <v>#VALUE!</v>
      </c>
      <c r="AH220" s="1" t="str">
        <f>IF(ISERROR(INDEX(C4:C8,MATCH(G220,D4:D8,0))),"",INDEX(C4:C8,MATCH(G220,D4:D8,0)))</f>
        <v/>
      </c>
      <c r="AI220" s="79" t="e">
        <f>IF(IF(COUNTIF(AI4:AI219,AI218)&gt;=MAX(D4:D8),AI218+2,AI218)&gt;50,"",IF(COUNTIF(AI4:AI219,AI218)&gt;=MAX(D4:D8),AI218+2,AI218))</f>
        <v>#VALUE!</v>
      </c>
      <c r="AJ220" s="1" t="e">
        <f>IF(AI220="","",VLOOKUP(AI220,S4:U53,3,0))</f>
        <v>#VALUE!</v>
      </c>
      <c r="AK220" s="8" t="str">
        <f t="shared" si="161"/>
        <v/>
      </c>
      <c r="AM220" s="71" t="e">
        <f t="shared" si="162"/>
        <v>#VALUE!</v>
      </c>
      <c r="AN220" s="71" t="str">
        <f>IF(OR(COUNTBLANK(AQ220)=1,ISERROR(AQ220)),"",COUNT(AQ4:AQ220))</f>
        <v/>
      </c>
      <c r="AO220" s="7" t="e">
        <f t="shared" si="163"/>
        <v>#VALUE!</v>
      </c>
      <c r="AP220" s="1" t="str">
        <f>IF(ISERROR(INDEX(C4:C8,MATCH(H220,D4:D8,0))),"",INDEX(C4:C8,MATCH(H220,D4:D8,0)))</f>
        <v/>
      </c>
      <c r="AQ220" s="79" t="e">
        <f>IF(IF(COUNTIF(AQ4:AQ219,AQ217)&gt;=MAX(D4:D8),AQ217+3,AQ217)&gt;50,"",IF(COUNTIF(AQ4:AQ219,AQ217)&gt;=MAX(D4:D8),AQ217+3,AQ217))</f>
        <v>#VALUE!</v>
      </c>
      <c r="AR220" s="1" t="e">
        <f>IF(AQ220="","",VLOOKUP(AQ220,S4:U53,3,0))</f>
        <v>#VALUE!</v>
      </c>
      <c r="AS220" s="8" t="str">
        <f t="shared" si="164"/>
        <v/>
      </c>
      <c r="AU220" s="71" t="e">
        <f t="shared" si="165"/>
        <v>#VALUE!</v>
      </c>
      <c r="AV220" s="71" t="str">
        <f>IF(OR(COUNTBLANK(AY220)=1,ISERROR(AY220)),"",COUNT(AY4:AY220))</f>
        <v/>
      </c>
      <c r="AW220" s="7" t="e">
        <f t="shared" si="166"/>
        <v>#VALUE!</v>
      </c>
      <c r="AX220" s="1" t="str">
        <f>IF(ISERROR(INDEX(C4:C8,MATCH(I220,D4:D8,0))),"",INDEX(C4:C8,MATCH(I220,D4:D8,0)))</f>
        <v/>
      </c>
      <c r="AY220" s="79" t="e">
        <f>IF(IF(COUNTIF(AY4:AY219,AY216)&gt;=MAX(D4:D8),AY216+4,AY216)&gt;50,"",IF(COUNTIF(AY4:AY219,AY216)&gt;=MAX(D4:D8),AY216+4,AY216))</f>
        <v>#VALUE!</v>
      </c>
      <c r="AZ220" s="76" t="e">
        <f>IF(AY220="","",VLOOKUP(AY220,S4:U53,3,0))</f>
        <v>#VALUE!</v>
      </c>
      <c r="BA220" s="8" t="str">
        <f t="shared" si="167"/>
        <v/>
      </c>
      <c r="BC220" s="71" t="e">
        <f t="shared" si="168"/>
        <v>#VALUE!</v>
      </c>
      <c r="BD220" s="71" t="str">
        <f>IF(OR(COUNTBLANK(BG220)=1,ISERROR(BG220)),"",COUNT(BG4:BG220))</f>
        <v/>
      </c>
      <c r="BE220" s="7" t="e">
        <f t="shared" si="169"/>
        <v>#VALUE!</v>
      </c>
      <c r="BF220" s="1" t="str">
        <f>IF(ISERROR(INDEX(C4:C8,MATCH(J220,D4:D8,0))),"",INDEX(C4:C8,MATCH(J220,D4:D8,0)))</f>
        <v/>
      </c>
      <c r="BG220" s="79" t="e">
        <f>IF(IF(COUNTIF(BG4:BG219,BG215)&gt;=MAX(D4:D8),BG215+5,BG215)&gt;50,"",IF(COUNTIF(BG4:BG219,BG215)&gt;=MAX(D4:D8),BG215+5,BG215))</f>
        <v>#VALUE!</v>
      </c>
      <c r="BH220" s="76" t="e">
        <f>IF(BG220="","",VLOOKUP(BG220,S4:U53,3,0))</f>
        <v>#VALUE!</v>
      </c>
      <c r="BI220" s="8" t="str">
        <f t="shared" si="170"/>
        <v/>
      </c>
      <c r="BP220" s="71" t="e">
        <f>IF(BT220="","",BT220*10+2)</f>
        <v>#VALUE!</v>
      </c>
      <c r="BQ220" s="71" t="str">
        <f>IF(OR(COUNTBLANK(BT220)=1,ISERROR(BT220)),"",COUNT(BT4:BT220))</f>
        <v/>
      </c>
      <c r="BR220" s="7" t="e">
        <f t="shared" si="172"/>
        <v>#VALUE!</v>
      </c>
      <c r="BS220" s="1" t="str">
        <f t="shared" si="173"/>
        <v/>
      </c>
      <c r="BT220" s="79" t="e">
        <f>IF(IF(COUNTIF($BT$4:BT219,BT219)&gt;=MAX($D$4:$D$8),BT219+1,BT219)&gt;55,"",IF(COUNTIF($BT$4:BT219,BT219)&gt;=MAX($D$4:$D$8),BT219+1,BT219))</f>
        <v>#VALUE!</v>
      </c>
      <c r="BU220" s="1" t="e">
        <f t="shared" si="174"/>
        <v>#VALUE!</v>
      </c>
      <c r="BV220" s="8" t="str">
        <f t="shared" si="175"/>
        <v/>
      </c>
      <c r="BX220" s="71" t="e">
        <f t="shared" si="176"/>
        <v>#VALUE!</v>
      </c>
      <c r="BY220" s="71" t="str">
        <f>IF(OR(COUNTBLANK(CB220)=1,ISERROR(CB220)),"",COUNT($CB$4:CB220))</f>
        <v/>
      </c>
      <c r="BZ220" s="7" t="e">
        <f t="shared" si="177"/>
        <v>#VALUE!</v>
      </c>
      <c r="CA220" s="1" t="str">
        <f t="shared" si="178"/>
        <v/>
      </c>
      <c r="CB220" s="79" t="e">
        <f>IF(IF(COUNTIF($CB$4:CB219,CB218)&gt;=MAX($D$4:$D$8),CB218+2,CB218)&gt;55,"",IF(COUNTIF($CB$4:CB219,CB218)&gt;=MAX($D$4:$D$8),CB218+2,CB218))</f>
        <v>#VALUE!</v>
      </c>
      <c r="CC220" s="1" t="e">
        <f t="shared" si="179"/>
        <v>#VALUE!</v>
      </c>
      <c r="CD220" s="8" t="str">
        <f t="shared" si="180"/>
        <v/>
      </c>
      <c r="CF220" s="71" t="e">
        <f t="shared" si="193"/>
        <v>#VALUE!</v>
      </c>
      <c r="CG220" s="71" t="str">
        <f>IF(OR(COUNTBLANK(CJ220)=1,ISERROR(CJ220)),"",COUNT($CJ$4:CJ220))</f>
        <v/>
      </c>
      <c r="CH220" s="7" t="e">
        <f t="shared" si="194"/>
        <v>#VALUE!</v>
      </c>
      <c r="CI220" s="1" t="str">
        <f t="shared" si="195"/>
        <v/>
      </c>
      <c r="CJ220" s="79" t="e">
        <f>IF(IF(COUNTIF($CJ$4:CJ219,CJ217)&gt;=MAX($D$4:$D$8),CJ217+3,CJ217)&gt;55,"",IF(COUNTIF($CJ$4:CJ219,CJ217)&gt;=MAX($D$4:$D$8),CJ217+3,CJ217))</f>
        <v>#VALUE!</v>
      </c>
      <c r="CK220" s="1" t="e">
        <f t="shared" si="181"/>
        <v>#VALUE!</v>
      </c>
      <c r="CL220" s="8" t="str">
        <f t="shared" si="196"/>
        <v/>
      </c>
      <c r="CN220" s="71" t="e">
        <f t="shared" si="187"/>
        <v>#VALUE!</v>
      </c>
      <c r="CO220" s="71" t="str">
        <f>IF(OR(COUNTBLANK(CR220)=1,ISERROR(CR220)),"",COUNT($CR$4:CR220))</f>
        <v/>
      </c>
      <c r="CP220" s="7" t="e">
        <f t="shared" si="188"/>
        <v>#VALUE!</v>
      </c>
      <c r="CQ220" s="1" t="str">
        <f t="shared" si="189"/>
        <v/>
      </c>
      <c r="CR220" s="79" t="e">
        <f>IF(IF(COUNTIF($CR$4:CR219,CR216)&gt;=MAX($D$4:$D$8),CR216+4,CR216)&gt;55,"",IF(COUNTIF($CR$4:CR219,CR216)&gt;=MAX($D$4:$D$8),CR216+4,CR216))</f>
        <v>#VALUE!</v>
      </c>
      <c r="CS220" s="1" t="e">
        <f t="shared" si="182"/>
        <v>#VALUE!</v>
      </c>
      <c r="CT220" s="8" t="str">
        <f t="shared" si="190"/>
        <v/>
      </c>
      <c r="CV220" s="71" t="e">
        <f t="shared" si="197"/>
        <v>#VALUE!</v>
      </c>
      <c r="CW220" s="71" t="str">
        <f>IF(OR(COUNTBLANK(CZ220)=1,ISERROR(CZ220)),"",COUNT($CZ$4:CZ220))</f>
        <v/>
      </c>
      <c r="CX220" s="7" t="e">
        <f t="shared" si="198"/>
        <v>#VALUE!</v>
      </c>
      <c r="CY220" s="1" t="str">
        <f t="shared" si="199"/>
        <v/>
      </c>
      <c r="CZ220" s="79" t="e">
        <f>IF(IF(COUNTIF($CZ$4:CZ219,CZ215)&gt;=MAX($D$4:$D$8),CZ215+5,CZ215)&gt;55,"",IF(COUNTIF($CZ$4:CZ219,CZ215)&gt;=MAX($D$4:$D$8),CZ215+5,CZ215))</f>
        <v>#VALUE!</v>
      </c>
      <c r="DA220" s="1" t="e">
        <f t="shared" si="183"/>
        <v>#VALUE!</v>
      </c>
      <c r="DB220" s="8" t="str">
        <f t="shared" si="200"/>
        <v/>
      </c>
    </row>
    <row r="221" spans="5:106" x14ac:dyDescent="0.15">
      <c r="E221" s="1">
        <v>218</v>
      </c>
      <c r="F221" s="1">
        <f t="shared" si="184"/>
        <v>1</v>
      </c>
      <c r="G221" s="1">
        <f t="shared" si="191"/>
        <v>1</v>
      </c>
      <c r="H221" s="1">
        <f t="shared" si="185"/>
        <v>1</v>
      </c>
      <c r="I221" s="1">
        <f t="shared" si="186"/>
        <v>1</v>
      </c>
      <c r="J221" s="1">
        <f t="shared" si="192"/>
        <v>1</v>
      </c>
      <c r="L221" s="1" t="str">
        <f>IF(ISERROR(HLOOKUP($C$10,$F$3:$J$253,219,0)),"",HLOOKUP($C$10,$F$3:$J$253,219,0))</f>
        <v/>
      </c>
      <c r="N221" s="67"/>
      <c r="W221" s="71" t="e">
        <f>IF(AA221="","",AA221*10+3)</f>
        <v>#VALUE!</v>
      </c>
      <c r="X221" s="71" t="str">
        <f>IF(OR(COUNTBLANK(AA221)=1,ISERROR(AA221)),"",COUNT(AA4:AA221))</f>
        <v/>
      </c>
      <c r="Y221" s="7" t="e">
        <f t="shared" si="157"/>
        <v>#VALUE!</v>
      </c>
      <c r="Z221" s="1" t="str">
        <f t="shared" si="171"/>
        <v/>
      </c>
      <c r="AA221" s="79" t="e">
        <f>IF(IF(COUNTIF(AA4:AA220,AA220)&gt;=MAX(D4:D8),AA220+1,AA220)&gt;50,"",IF(COUNTIF(AA4:AA220,AA220)&gt;=MAX(D4:D8),AA220+1,AA220))</f>
        <v>#VALUE!</v>
      </c>
      <c r="AB221" s="1" t="e">
        <f>IF(AA221="","",VLOOKUP(AA221,S4:U53,3,0))</f>
        <v>#VALUE!</v>
      </c>
      <c r="AC221" s="8" t="str">
        <f t="shared" si="158"/>
        <v/>
      </c>
      <c r="AE221" s="71" t="e">
        <f t="shared" si="159"/>
        <v>#VALUE!</v>
      </c>
      <c r="AF221" s="71" t="str">
        <f>IF(OR(COUNTBLANK(AI221)=1,ISERROR(AI221)),"",COUNT(AI4:AI221))</f>
        <v/>
      </c>
      <c r="AG221" s="7" t="e">
        <f t="shared" si="160"/>
        <v>#VALUE!</v>
      </c>
      <c r="AH221" s="1" t="str">
        <f>IF(ISERROR(INDEX(C4:C8,MATCH(G221,D4:D8,0))),"",INDEX(C4:C8,MATCH(G221,D4:D8,0)))</f>
        <v/>
      </c>
      <c r="AI221" s="79" t="e">
        <f>IF(IF(COUNTIF(AI4:AI219,AI219)&gt;=MAX(D4:D8),AI219+2,AI219)&gt;50,"",IF(COUNTIF(AI4:AI219,AI219)&gt;=MAX(D4:D8),AI219+2,AI219))</f>
        <v>#VALUE!</v>
      </c>
      <c r="AJ221" s="1" t="e">
        <f>IF(AI221="","",VLOOKUP(AI221,S4:U53,3,0))</f>
        <v>#VALUE!</v>
      </c>
      <c r="AK221" s="8" t="str">
        <f t="shared" si="161"/>
        <v/>
      </c>
      <c r="AM221" s="71" t="e">
        <f t="shared" si="162"/>
        <v>#VALUE!</v>
      </c>
      <c r="AN221" s="71" t="str">
        <f>IF(OR(COUNTBLANK(AQ221)=1,ISERROR(AQ221)),"",COUNT(AQ4:AQ221))</f>
        <v/>
      </c>
      <c r="AO221" s="7" t="e">
        <f t="shared" si="163"/>
        <v>#VALUE!</v>
      </c>
      <c r="AP221" s="1" t="str">
        <f>IF(ISERROR(INDEX(C4:C8,MATCH(H221,D4:D8,0))),"",INDEX(C4:C8,MATCH(H221,D4:D8,0)))</f>
        <v/>
      </c>
      <c r="AQ221" s="79" t="e">
        <f>IF(IF(COUNTIF(AQ4:AQ220,AQ218)&gt;=MAX(D4:D8),AQ218+3,AQ218)&gt;50,"",IF(COUNTIF(AQ4:AQ220,AQ218)&gt;=MAX(D4:D8),AQ218+3,AQ218))</f>
        <v>#VALUE!</v>
      </c>
      <c r="AR221" s="1" t="e">
        <f>IF(AQ221="","",VLOOKUP(AQ221,S4:U53,3,0))</f>
        <v>#VALUE!</v>
      </c>
      <c r="AS221" s="8" t="str">
        <f t="shared" si="164"/>
        <v/>
      </c>
      <c r="AU221" s="71" t="e">
        <f t="shared" si="165"/>
        <v>#VALUE!</v>
      </c>
      <c r="AV221" s="71" t="str">
        <f>IF(OR(COUNTBLANK(AY221)=1,ISERROR(AY221)),"",COUNT(AY4:AY221))</f>
        <v/>
      </c>
      <c r="AW221" s="7" t="e">
        <f t="shared" si="166"/>
        <v>#VALUE!</v>
      </c>
      <c r="AX221" s="1" t="str">
        <f>IF(ISERROR(INDEX(C4:C8,MATCH(I221,D4:D8,0))),"",INDEX(C4:C8,MATCH(I221,D4:D8,0)))</f>
        <v/>
      </c>
      <c r="AY221" s="79" t="e">
        <f>IF(IF(COUNTIF(AY4:AY220,AY217)&gt;=MAX(D4:D8),AY217+4,AY217)&gt;50,"",IF(COUNTIF(AY4:AY220,AY217)&gt;=MAX(D4:D8),AY217+4,AY217))</f>
        <v>#VALUE!</v>
      </c>
      <c r="AZ221" s="76" t="e">
        <f>IF(AY221="","",VLOOKUP(AY221,S4:U53,3,0))</f>
        <v>#VALUE!</v>
      </c>
      <c r="BA221" s="8" t="str">
        <f t="shared" si="167"/>
        <v/>
      </c>
      <c r="BC221" s="71" t="e">
        <f t="shared" si="168"/>
        <v>#VALUE!</v>
      </c>
      <c r="BD221" s="71" t="str">
        <f>IF(OR(COUNTBLANK(BG221)=1,ISERROR(BG221)),"",COUNT(BG4:BG221))</f>
        <v/>
      </c>
      <c r="BE221" s="7" t="e">
        <f t="shared" si="169"/>
        <v>#VALUE!</v>
      </c>
      <c r="BF221" s="1" t="str">
        <f>IF(ISERROR(INDEX(C4:C8,MATCH(J221,D4:D8,0))),"",INDEX(C4:C8,MATCH(J221,D4:D8,0)))</f>
        <v/>
      </c>
      <c r="BG221" s="79" t="e">
        <f>IF(IF(COUNTIF(BG4:BG220,BG216)&gt;=MAX(D4:D8),BG216+5,BG216)&gt;50,"",IF(COUNTIF(BG4:BG220,BG216)&gt;=MAX(D4:D8),BG216+5,BG216))</f>
        <v>#VALUE!</v>
      </c>
      <c r="BH221" s="76" t="e">
        <f>IF(BG221="","",VLOOKUP(BG221,S4:U53,3,0))</f>
        <v>#VALUE!</v>
      </c>
      <c r="BI221" s="8" t="str">
        <f t="shared" si="170"/>
        <v/>
      </c>
      <c r="BP221" s="71" t="e">
        <f>IF(BT221="","",BT221*10+3)</f>
        <v>#VALUE!</v>
      </c>
      <c r="BQ221" s="71" t="str">
        <f>IF(OR(COUNTBLANK(BT221)=1,ISERROR(BT221)),"",COUNT(BT4:BT221))</f>
        <v/>
      </c>
      <c r="BR221" s="7" t="e">
        <f t="shared" si="172"/>
        <v>#VALUE!</v>
      </c>
      <c r="BS221" s="1" t="str">
        <f t="shared" si="173"/>
        <v/>
      </c>
      <c r="BT221" s="79" t="e">
        <f>IF(IF(COUNTIF($BT$4:BT220,BT220)&gt;=MAX($D$4:$D$8),BT220+1,BT220)&gt;55,"",IF(COUNTIF($BT$4:BT220,BT220)&gt;=MAX($D$4:$D$8),BT220+1,BT220))</f>
        <v>#VALUE!</v>
      </c>
      <c r="BU221" s="1" t="e">
        <f t="shared" si="174"/>
        <v>#VALUE!</v>
      </c>
      <c r="BV221" s="8" t="str">
        <f t="shared" si="175"/>
        <v/>
      </c>
      <c r="BX221" s="71" t="e">
        <f t="shared" si="176"/>
        <v>#VALUE!</v>
      </c>
      <c r="BY221" s="71" t="str">
        <f>IF(OR(COUNTBLANK(CB221)=1,ISERROR(CB221)),"",COUNT($CB$4:CB221))</f>
        <v/>
      </c>
      <c r="BZ221" s="7" t="e">
        <f t="shared" si="177"/>
        <v>#VALUE!</v>
      </c>
      <c r="CA221" s="1" t="str">
        <f t="shared" si="178"/>
        <v/>
      </c>
      <c r="CB221" s="79" t="e">
        <f>IF(IF(COUNTIF($CB$4:CB220,CB219)&gt;=MAX($D$4:$D$8),CB219+2,CB219)&gt;55,"",IF(COUNTIF($CB$4:CB220,CB219)&gt;=MAX($D$4:$D$8),CB219+2,CB219))</f>
        <v>#VALUE!</v>
      </c>
      <c r="CC221" s="1" t="e">
        <f t="shared" si="179"/>
        <v>#VALUE!</v>
      </c>
      <c r="CD221" s="8" t="str">
        <f t="shared" si="180"/>
        <v/>
      </c>
      <c r="CF221" s="71" t="e">
        <f t="shared" si="193"/>
        <v>#VALUE!</v>
      </c>
      <c r="CG221" s="71" t="str">
        <f>IF(OR(COUNTBLANK(CJ221)=1,ISERROR(CJ221)),"",COUNT($CJ$4:CJ221))</f>
        <v/>
      </c>
      <c r="CH221" s="7" t="e">
        <f t="shared" si="194"/>
        <v>#VALUE!</v>
      </c>
      <c r="CI221" s="1" t="str">
        <f t="shared" si="195"/>
        <v/>
      </c>
      <c r="CJ221" s="79" t="e">
        <f>IF(IF(COUNTIF($CJ$4:CJ220,CJ218)&gt;=MAX($D$4:$D$8),CJ218+3,CJ218)&gt;55,"",IF(COUNTIF($CJ$4:CJ220,CJ218)&gt;=MAX($D$4:$D$8),CJ218+3,CJ218))</f>
        <v>#VALUE!</v>
      </c>
      <c r="CK221" s="1" t="e">
        <f t="shared" si="181"/>
        <v>#VALUE!</v>
      </c>
      <c r="CL221" s="8" t="str">
        <f t="shared" si="196"/>
        <v/>
      </c>
      <c r="CN221" s="71" t="e">
        <f t="shared" si="187"/>
        <v>#VALUE!</v>
      </c>
      <c r="CO221" s="71" t="str">
        <f>IF(OR(COUNTBLANK(CR221)=1,ISERROR(CR221)),"",COUNT($CR$4:CR221))</f>
        <v/>
      </c>
      <c r="CP221" s="7" t="e">
        <f t="shared" si="188"/>
        <v>#VALUE!</v>
      </c>
      <c r="CQ221" s="1" t="str">
        <f t="shared" si="189"/>
        <v/>
      </c>
      <c r="CR221" s="79" t="e">
        <f>IF(IF(COUNTIF($CR$4:CR220,CR217)&gt;=MAX($D$4:$D$8),CR217+4,CR217)&gt;55,"",IF(COUNTIF($CR$4:CR220,CR217)&gt;=MAX($D$4:$D$8),CR217+4,CR217))</f>
        <v>#VALUE!</v>
      </c>
      <c r="CS221" s="1" t="e">
        <f t="shared" si="182"/>
        <v>#VALUE!</v>
      </c>
      <c r="CT221" s="8" t="str">
        <f t="shared" si="190"/>
        <v/>
      </c>
      <c r="CV221" s="71" t="e">
        <f t="shared" si="197"/>
        <v>#VALUE!</v>
      </c>
      <c r="CW221" s="71" t="str">
        <f>IF(OR(COUNTBLANK(CZ221)=1,ISERROR(CZ221)),"",COUNT($CZ$4:CZ221))</f>
        <v/>
      </c>
      <c r="CX221" s="7" t="e">
        <f t="shared" si="198"/>
        <v>#VALUE!</v>
      </c>
      <c r="CY221" s="1" t="str">
        <f t="shared" si="199"/>
        <v/>
      </c>
      <c r="CZ221" s="79" t="e">
        <f>IF(IF(COUNTIF($CZ$4:CZ220,CZ216)&gt;=MAX($D$4:$D$8),CZ216+5,CZ216)&gt;55,"",IF(COUNTIF($CZ$4:CZ220,CZ216)&gt;=MAX($D$4:$D$8),CZ216+5,CZ216))</f>
        <v>#VALUE!</v>
      </c>
      <c r="DA221" s="1" t="e">
        <f t="shared" si="183"/>
        <v>#VALUE!</v>
      </c>
      <c r="DB221" s="8" t="str">
        <f t="shared" si="200"/>
        <v/>
      </c>
    </row>
    <row r="222" spans="5:106" x14ac:dyDescent="0.15">
      <c r="E222" s="1">
        <v>219</v>
      </c>
      <c r="F222" s="1">
        <f t="shared" si="184"/>
        <v>1</v>
      </c>
      <c r="G222" s="1">
        <f t="shared" si="191"/>
        <v>1</v>
      </c>
      <c r="H222" s="1">
        <f t="shared" si="185"/>
        <v>1</v>
      </c>
      <c r="I222" s="1">
        <f t="shared" si="186"/>
        <v>1</v>
      </c>
      <c r="J222" s="1">
        <f t="shared" si="192"/>
        <v>1</v>
      </c>
      <c r="L222" s="1" t="str">
        <f>IF(ISERROR(HLOOKUP($C$10,$F$3:$J$253,220,0)),"",HLOOKUP($C$10,$F$3:$J$253,220,0))</f>
        <v/>
      </c>
      <c r="N222" s="67"/>
      <c r="W222" s="71" t="e">
        <f>IF(AA222="","",AA222*10+4)</f>
        <v>#VALUE!</v>
      </c>
      <c r="X222" s="71" t="str">
        <f>IF(OR(COUNTBLANK(AA222)=1,ISERROR(AA222)),"",COUNT(AA4:AA222))</f>
        <v/>
      </c>
      <c r="Y222" s="7" t="e">
        <f t="shared" si="157"/>
        <v>#VALUE!</v>
      </c>
      <c r="Z222" s="1" t="str">
        <f t="shared" si="171"/>
        <v/>
      </c>
      <c r="AA222" s="79" t="e">
        <f>IF(IF(COUNTIF(AA4:AA221,AA221)&gt;=MAX(D4:D8),AA221+1,AA221)&gt;50,"",IF(COUNTIF(AA4:AA221,AA221)&gt;=MAX(D4:D8),AA221+1,AA221))</f>
        <v>#VALUE!</v>
      </c>
      <c r="AB222" s="1" t="e">
        <f>IF(AA222="","",VLOOKUP(AA222,S4:U53,3,0))</f>
        <v>#VALUE!</v>
      </c>
      <c r="AC222" s="8" t="str">
        <f t="shared" si="158"/>
        <v/>
      </c>
      <c r="AE222" s="71" t="e">
        <f t="shared" si="159"/>
        <v>#VALUE!</v>
      </c>
      <c r="AF222" s="71" t="str">
        <f>IF(OR(COUNTBLANK(AI222)=1,ISERROR(AI222)),"",COUNT(AI4:AI222))</f>
        <v/>
      </c>
      <c r="AG222" s="7" t="e">
        <f t="shared" si="160"/>
        <v>#VALUE!</v>
      </c>
      <c r="AH222" s="1" t="str">
        <f>IF(ISERROR(INDEX(C4:C8,MATCH(G222,D4:D8,0))),"",INDEX(C4:C8,MATCH(G222,D4:D8,0)))</f>
        <v/>
      </c>
      <c r="AI222" s="79" t="e">
        <f>IF(IF(COUNTIF(AI4:AI221,AI220)&gt;=MAX(D4:D8),AI220+2,AI220)&gt;50,"",IF(COUNTIF(AI4:AI221,AI220)&gt;=MAX(D4:D8),AI220+2,AI220))</f>
        <v>#VALUE!</v>
      </c>
      <c r="AJ222" s="1" t="e">
        <f>IF(AI222="","",VLOOKUP(AI222,S4:U53,3,0))</f>
        <v>#VALUE!</v>
      </c>
      <c r="AK222" s="8" t="str">
        <f t="shared" si="161"/>
        <v/>
      </c>
      <c r="AM222" s="71" t="e">
        <f t="shared" si="162"/>
        <v>#VALUE!</v>
      </c>
      <c r="AN222" s="71" t="str">
        <f>IF(OR(COUNTBLANK(AQ222)=1,ISERROR(AQ222)),"",COUNT(AQ4:AQ222))</f>
        <v/>
      </c>
      <c r="AO222" s="7" t="e">
        <f t="shared" si="163"/>
        <v>#VALUE!</v>
      </c>
      <c r="AP222" s="1" t="str">
        <f>IF(ISERROR(INDEX(C4:C8,MATCH(H222,D4:D8,0))),"",INDEX(C4:C8,MATCH(H222,D4:D8,0)))</f>
        <v/>
      </c>
      <c r="AQ222" s="79" t="e">
        <f>IF(IF(COUNTIF(AQ4:AQ221,AQ219)&gt;=MAX(D4:D8),AQ219+3,AQ219)&gt;50,"",IF(COUNTIF(AQ4:AQ221,AQ219)&gt;=MAX(D4:D8),AQ219+3,AQ219))</f>
        <v>#VALUE!</v>
      </c>
      <c r="AR222" s="1" t="e">
        <f>IF(AQ222="","",VLOOKUP(AQ222,S4:U53,3,0))</f>
        <v>#VALUE!</v>
      </c>
      <c r="AS222" s="8" t="str">
        <f t="shared" si="164"/>
        <v/>
      </c>
      <c r="AU222" s="71" t="e">
        <f t="shared" si="165"/>
        <v>#VALUE!</v>
      </c>
      <c r="AV222" s="71" t="str">
        <f>IF(OR(COUNTBLANK(AY222)=1,ISERROR(AY222)),"",COUNT(AY4:AY222))</f>
        <v/>
      </c>
      <c r="AW222" s="7" t="e">
        <f t="shared" si="166"/>
        <v>#VALUE!</v>
      </c>
      <c r="AX222" s="1" t="str">
        <f>IF(ISERROR(INDEX(C4:C8,MATCH(I222,D4:D8,0))),"",INDEX(C4:C8,MATCH(I222,D4:D8,0)))</f>
        <v/>
      </c>
      <c r="AY222" s="79" t="e">
        <f>IF(IF(COUNTIF(AY4:AY221,AY218)&gt;=MAX(D4:D8),AY218+4,AY218)&gt;50,"",IF(COUNTIF(AY4:AY221,AY218)&gt;=MAX(D4:D8),AY218+4,AY218))</f>
        <v>#VALUE!</v>
      </c>
      <c r="AZ222" s="76" t="e">
        <f>IF(AY222="","",VLOOKUP(AY222,S4:U53,3,0))</f>
        <v>#VALUE!</v>
      </c>
      <c r="BA222" s="8" t="str">
        <f t="shared" si="167"/>
        <v/>
      </c>
      <c r="BC222" s="71" t="e">
        <f t="shared" si="168"/>
        <v>#VALUE!</v>
      </c>
      <c r="BD222" s="71" t="str">
        <f>IF(OR(COUNTBLANK(BG222)=1,ISERROR(BG222)),"",COUNT(BG4:BG222))</f>
        <v/>
      </c>
      <c r="BE222" s="7" t="e">
        <f t="shared" si="169"/>
        <v>#VALUE!</v>
      </c>
      <c r="BF222" s="1" t="str">
        <f>IF(ISERROR(INDEX(C4:C8,MATCH(J222,D4:D8,0))),"",INDEX(C4:C8,MATCH(J222,D4:D8,0)))</f>
        <v/>
      </c>
      <c r="BG222" s="79" t="e">
        <f>IF(IF(COUNTIF(BG4:BG221,BG217)&gt;=MAX(D4:D8),BG217+5,BG217)&gt;50,"",IF(COUNTIF(BG4:BG221,BG217)&gt;=MAX(D4:D8),BG217+5,BG217))</f>
        <v>#VALUE!</v>
      </c>
      <c r="BH222" s="76" t="e">
        <f>IF(BG222="","",VLOOKUP(BG222,S4:U53,3,0))</f>
        <v>#VALUE!</v>
      </c>
      <c r="BI222" s="8" t="str">
        <f t="shared" si="170"/>
        <v/>
      </c>
      <c r="BP222" s="71" t="e">
        <f>IF(BT222="","",BT222*10+4)</f>
        <v>#VALUE!</v>
      </c>
      <c r="BQ222" s="71" t="str">
        <f>IF(OR(COUNTBLANK(BT222)=1,ISERROR(BT222)),"",COUNT(BT4:BT222))</f>
        <v/>
      </c>
      <c r="BR222" s="7" t="e">
        <f t="shared" si="172"/>
        <v>#VALUE!</v>
      </c>
      <c r="BS222" s="1" t="str">
        <f t="shared" si="173"/>
        <v/>
      </c>
      <c r="BT222" s="79" t="e">
        <f>IF(IF(COUNTIF($BT$4:BT221,BT221)&gt;=MAX($D$4:$D$8),BT221+1,BT221)&gt;55,"",IF(COUNTIF($BT$4:BT221,BT221)&gt;=MAX($D$4:$D$8),BT221+1,BT221))</f>
        <v>#VALUE!</v>
      </c>
      <c r="BU222" s="1" t="e">
        <f t="shared" si="174"/>
        <v>#VALUE!</v>
      </c>
      <c r="BV222" s="8" t="str">
        <f t="shared" si="175"/>
        <v/>
      </c>
      <c r="BX222" s="71" t="e">
        <f t="shared" si="176"/>
        <v>#VALUE!</v>
      </c>
      <c r="BY222" s="71" t="str">
        <f>IF(OR(COUNTBLANK(CB222)=1,ISERROR(CB222)),"",COUNT($CB$4:CB222))</f>
        <v/>
      </c>
      <c r="BZ222" s="7" t="e">
        <f t="shared" si="177"/>
        <v>#VALUE!</v>
      </c>
      <c r="CA222" s="1" t="str">
        <f t="shared" si="178"/>
        <v/>
      </c>
      <c r="CB222" s="79" t="e">
        <f>IF(IF(COUNTIF($CB$4:CB221,CB220)&gt;=MAX($D$4:$D$8),CB220+2,CB220)&gt;55,"",IF(COUNTIF($CB$4:CB221,CB220)&gt;=MAX($D$4:$D$8),CB220+2,CB220))</f>
        <v>#VALUE!</v>
      </c>
      <c r="CC222" s="1" t="e">
        <f t="shared" si="179"/>
        <v>#VALUE!</v>
      </c>
      <c r="CD222" s="8" t="str">
        <f t="shared" si="180"/>
        <v/>
      </c>
      <c r="CF222" s="71" t="e">
        <f t="shared" si="193"/>
        <v>#VALUE!</v>
      </c>
      <c r="CG222" s="71" t="str">
        <f>IF(OR(COUNTBLANK(CJ222)=1,ISERROR(CJ222)),"",COUNT($CJ$4:CJ222))</f>
        <v/>
      </c>
      <c r="CH222" s="7" t="e">
        <f t="shared" si="194"/>
        <v>#VALUE!</v>
      </c>
      <c r="CI222" s="1" t="str">
        <f t="shared" si="195"/>
        <v/>
      </c>
      <c r="CJ222" s="79" t="e">
        <f>IF(IF(COUNTIF($CJ$4:CJ221,CJ219)&gt;=MAX($D$4:$D$8),CJ219+3,CJ219)&gt;55,"",IF(COUNTIF($CJ$4:CJ221,CJ219)&gt;=MAX($D$4:$D$8),CJ219+3,CJ219))</f>
        <v>#VALUE!</v>
      </c>
      <c r="CK222" s="1" t="e">
        <f t="shared" si="181"/>
        <v>#VALUE!</v>
      </c>
      <c r="CL222" s="8" t="str">
        <f t="shared" si="196"/>
        <v/>
      </c>
      <c r="CN222" s="71" t="e">
        <f t="shared" si="187"/>
        <v>#VALUE!</v>
      </c>
      <c r="CO222" s="71" t="str">
        <f>IF(OR(COUNTBLANK(CR222)=1,ISERROR(CR222)),"",COUNT($CR$4:CR222))</f>
        <v/>
      </c>
      <c r="CP222" s="7" t="e">
        <f t="shared" si="188"/>
        <v>#VALUE!</v>
      </c>
      <c r="CQ222" s="1" t="str">
        <f t="shared" si="189"/>
        <v/>
      </c>
      <c r="CR222" s="79" t="e">
        <f>IF(IF(COUNTIF($CR$4:CR221,CR218)&gt;=MAX($D$4:$D$8),CR218+4,CR218)&gt;55,"",IF(COUNTIF($CR$4:CR221,CR218)&gt;=MAX($D$4:$D$8),CR218+4,CR218))</f>
        <v>#VALUE!</v>
      </c>
      <c r="CS222" s="1" t="e">
        <f t="shared" si="182"/>
        <v>#VALUE!</v>
      </c>
      <c r="CT222" s="8" t="str">
        <f t="shared" si="190"/>
        <v/>
      </c>
      <c r="CV222" s="71" t="e">
        <f t="shared" si="197"/>
        <v>#VALUE!</v>
      </c>
      <c r="CW222" s="71" t="str">
        <f>IF(OR(COUNTBLANK(CZ222)=1,ISERROR(CZ222)),"",COUNT($CZ$4:CZ222))</f>
        <v/>
      </c>
      <c r="CX222" s="7" t="e">
        <f t="shared" si="198"/>
        <v>#VALUE!</v>
      </c>
      <c r="CY222" s="1" t="str">
        <f t="shared" si="199"/>
        <v/>
      </c>
      <c r="CZ222" s="79" t="e">
        <f>IF(IF(COUNTIF($CZ$4:CZ221,CZ217)&gt;=MAX($D$4:$D$8),CZ217+5,CZ217)&gt;55,"",IF(COUNTIF($CZ$4:CZ221,CZ217)&gt;=MAX($D$4:$D$8),CZ217+5,CZ217))</f>
        <v>#VALUE!</v>
      </c>
      <c r="DA222" s="1" t="e">
        <f t="shared" si="183"/>
        <v>#VALUE!</v>
      </c>
      <c r="DB222" s="8" t="str">
        <f t="shared" si="200"/>
        <v/>
      </c>
    </row>
    <row r="223" spans="5:106" x14ac:dyDescent="0.15">
      <c r="E223" s="1">
        <v>220</v>
      </c>
      <c r="F223" s="1">
        <f t="shared" si="184"/>
        <v>1</v>
      </c>
      <c r="G223" s="1">
        <f t="shared" si="191"/>
        <v>1</v>
      </c>
      <c r="H223" s="1">
        <f t="shared" si="185"/>
        <v>1</v>
      </c>
      <c r="I223" s="1">
        <f t="shared" si="186"/>
        <v>1</v>
      </c>
      <c r="J223" s="1">
        <f t="shared" si="192"/>
        <v>1</v>
      </c>
      <c r="L223" s="1" t="str">
        <f>IF(ISERROR(HLOOKUP($C$10,$F$3:$J$253,221,0)),"",HLOOKUP($C$10,$F$3:$J$253,221,0))</f>
        <v/>
      </c>
      <c r="N223" s="67"/>
      <c r="W223" s="71" t="e">
        <f>IF(AA223="","",AA223*10+5)</f>
        <v>#VALUE!</v>
      </c>
      <c r="X223" s="71" t="str">
        <f>IF(OR(COUNTBLANK(AA223)=1,ISERROR(AA223)),"",COUNT(AA4:AA223))</f>
        <v/>
      </c>
      <c r="Y223" s="7" t="e">
        <f t="shared" si="157"/>
        <v>#VALUE!</v>
      </c>
      <c r="Z223" s="1" t="str">
        <f t="shared" si="171"/>
        <v/>
      </c>
      <c r="AA223" s="79" t="e">
        <f>IF(IF(COUNTIF(AA4:AA222,AA222)&gt;=MAX(D4:D8),AA222+1,AA222)&gt;50,"",IF(COUNTIF(AA4:AA222,AA222)&gt;=MAX(D4:D8),AA222+1,AA222))</f>
        <v>#VALUE!</v>
      </c>
      <c r="AB223" s="1" t="e">
        <f>IF(AA223="","",VLOOKUP(AA223,S4:U53,3,0))</f>
        <v>#VALUE!</v>
      </c>
      <c r="AC223" s="8" t="str">
        <f t="shared" si="158"/>
        <v/>
      </c>
      <c r="AE223" s="71" t="e">
        <f t="shared" si="159"/>
        <v>#VALUE!</v>
      </c>
      <c r="AF223" s="71" t="str">
        <f>IF(OR(COUNTBLANK(AI223)=1,ISERROR(AI223)),"",COUNT(AI4:AI223))</f>
        <v/>
      </c>
      <c r="AG223" s="7" t="e">
        <f t="shared" si="160"/>
        <v>#VALUE!</v>
      </c>
      <c r="AH223" s="1" t="str">
        <f>IF(ISERROR(INDEX(C4:C8,MATCH(G223,D4:D8,0))),"",INDEX(C4:C8,MATCH(G223,D4:D8,0)))</f>
        <v/>
      </c>
      <c r="AI223" s="79" t="e">
        <f>IF(IF(COUNTIF(AI4:AI221,AI221)&gt;=MAX(D4:D8),AI221+2,AI221)&gt;50,"",IF(COUNTIF(AI4:AI221,AI221)&gt;=MAX(D4:D8),AI221+2,AI221))</f>
        <v>#VALUE!</v>
      </c>
      <c r="AJ223" s="1" t="e">
        <f>IF(AI223="","",VLOOKUP(AI223,S4:U53,3,0))</f>
        <v>#VALUE!</v>
      </c>
      <c r="AK223" s="8" t="str">
        <f t="shared" si="161"/>
        <v/>
      </c>
      <c r="AM223" s="71" t="e">
        <f t="shared" si="162"/>
        <v>#VALUE!</v>
      </c>
      <c r="AN223" s="71" t="str">
        <f>IF(OR(COUNTBLANK(AQ223)=1,ISERROR(AQ223)),"",COUNT(AQ4:AQ223))</f>
        <v/>
      </c>
      <c r="AO223" s="7" t="e">
        <f t="shared" si="163"/>
        <v>#VALUE!</v>
      </c>
      <c r="AP223" s="1" t="str">
        <f>IF(ISERROR(INDEX(C4:C8,MATCH(H223,D4:D8,0))),"",INDEX(C4:C8,MATCH(H223,D4:D8,0)))</f>
        <v/>
      </c>
      <c r="AQ223" s="79" t="e">
        <f>IF(IF(COUNTIF(AQ4:AQ222,AQ220)&gt;=MAX(D4:D8),AQ220+3,AQ220)&gt;50,"",IF(COUNTIF(AQ4:AQ222,AQ220)&gt;=MAX(D4:D8),AQ220+3,AQ220))</f>
        <v>#VALUE!</v>
      </c>
      <c r="AR223" s="1" t="e">
        <f>IF(AQ223="","",VLOOKUP(AQ223,S4:U53,3,0))</f>
        <v>#VALUE!</v>
      </c>
      <c r="AS223" s="8" t="str">
        <f t="shared" si="164"/>
        <v/>
      </c>
      <c r="AU223" s="71" t="e">
        <f t="shared" si="165"/>
        <v>#VALUE!</v>
      </c>
      <c r="AV223" s="71" t="str">
        <f>IF(OR(COUNTBLANK(AY223)=1,ISERROR(AY223)),"",COUNT(AY4:AY223))</f>
        <v/>
      </c>
      <c r="AW223" s="7" t="e">
        <f t="shared" si="166"/>
        <v>#VALUE!</v>
      </c>
      <c r="AX223" s="1" t="str">
        <f>IF(ISERROR(INDEX(C4:C8,MATCH(I223,D4:D8,0))),"",INDEX(C4:C8,MATCH(I223,D4:D8,0)))</f>
        <v/>
      </c>
      <c r="AY223" s="79" t="e">
        <f>IF(IF(COUNTIF(AY4:AY222,AY219)&gt;=MAX(D4:D8),AY219+4,AY219)&gt;50,"",IF(COUNTIF(AY4:AY222,AY219)&gt;=MAX(D4:D8),AY219+4,AY219))</f>
        <v>#VALUE!</v>
      </c>
      <c r="AZ223" s="76" t="e">
        <f>IF(AY223="","",VLOOKUP(AY223,S4:U53,3,0))</f>
        <v>#VALUE!</v>
      </c>
      <c r="BA223" s="8" t="str">
        <f t="shared" si="167"/>
        <v/>
      </c>
      <c r="BC223" s="71" t="e">
        <f t="shared" si="168"/>
        <v>#VALUE!</v>
      </c>
      <c r="BD223" s="71" t="str">
        <f>IF(OR(COUNTBLANK(BG223)=1,ISERROR(BG223)),"",COUNT(BG4:BG223))</f>
        <v/>
      </c>
      <c r="BE223" s="7" t="e">
        <f t="shared" si="169"/>
        <v>#VALUE!</v>
      </c>
      <c r="BF223" s="1" t="str">
        <f>IF(ISERROR(INDEX(C4:C8,MATCH(J223,D4:D8,0))),"",INDEX(C4:C8,MATCH(J223,D4:D8,0)))</f>
        <v/>
      </c>
      <c r="BG223" s="79" t="e">
        <f>IF(IF(COUNTIF(BG4:BG222,BG218)&gt;=MAX(D4:D8),BG218+5,BG218)&gt;50,"",IF(COUNTIF(BG4:BG222,BG218)&gt;=MAX(D4:D8),BG218+5,BG218))</f>
        <v>#VALUE!</v>
      </c>
      <c r="BH223" s="76" t="e">
        <f>IF(BG223="","",VLOOKUP(BG223,S4:U53,3,0))</f>
        <v>#VALUE!</v>
      </c>
      <c r="BI223" s="8" t="str">
        <f t="shared" si="170"/>
        <v/>
      </c>
      <c r="BP223" s="71" t="e">
        <f>IF(BT223="","",BT223*10+5)</f>
        <v>#VALUE!</v>
      </c>
      <c r="BQ223" s="71" t="str">
        <f>IF(OR(COUNTBLANK(BT223)=1,ISERROR(BT223)),"",COUNT(BT4:BT223))</f>
        <v/>
      </c>
      <c r="BR223" s="7" t="e">
        <f t="shared" si="172"/>
        <v>#VALUE!</v>
      </c>
      <c r="BS223" s="1" t="str">
        <f t="shared" si="173"/>
        <v/>
      </c>
      <c r="BT223" s="79" t="e">
        <f>IF(IF(COUNTIF($BT$4:BT222,BT222)&gt;=MAX($D$4:$D$8),BT222+1,BT222)&gt;55,"",IF(COUNTIF($BT$4:BT222,BT222)&gt;=MAX($D$4:$D$8),BT222+1,BT222))</f>
        <v>#VALUE!</v>
      </c>
      <c r="BU223" s="1" t="e">
        <f t="shared" si="174"/>
        <v>#VALUE!</v>
      </c>
      <c r="BV223" s="8" t="str">
        <f t="shared" si="175"/>
        <v/>
      </c>
      <c r="BX223" s="71" t="e">
        <f t="shared" si="176"/>
        <v>#VALUE!</v>
      </c>
      <c r="BY223" s="71" t="str">
        <f>IF(OR(COUNTBLANK(CB223)=1,ISERROR(CB223)),"",COUNT($CB$4:CB223))</f>
        <v/>
      </c>
      <c r="BZ223" s="7" t="e">
        <f t="shared" si="177"/>
        <v>#VALUE!</v>
      </c>
      <c r="CA223" s="1" t="str">
        <f t="shared" si="178"/>
        <v/>
      </c>
      <c r="CB223" s="79" t="e">
        <f>IF(IF(COUNTIF($CB$4:CB222,CB221)&gt;=MAX($D$4:$D$8),CB221+2,CB221)&gt;55,"",IF(COUNTIF($CB$4:CB222,CB221)&gt;=MAX($D$4:$D$8),CB221+2,CB221))</f>
        <v>#VALUE!</v>
      </c>
      <c r="CC223" s="1" t="e">
        <f t="shared" si="179"/>
        <v>#VALUE!</v>
      </c>
      <c r="CD223" s="8" t="str">
        <f t="shared" si="180"/>
        <v/>
      </c>
      <c r="CF223" s="71" t="e">
        <f t="shared" si="193"/>
        <v>#VALUE!</v>
      </c>
      <c r="CG223" s="71" t="str">
        <f>IF(OR(COUNTBLANK(CJ223)=1,ISERROR(CJ223)),"",COUNT($CJ$4:CJ223))</f>
        <v/>
      </c>
      <c r="CH223" s="7" t="e">
        <f t="shared" si="194"/>
        <v>#VALUE!</v>
      </c>
      <c r="CI223" s="1" t="str">
        <f t="shared" si="195"/>
        <v/>
      </c>
      <c r="CJ223" s="79" t="e">
        <f>IF(IF(COUNTIF($CJ$4:CJ222,CJ220)&gt;=MAX($D$4:$D$8),CJ220+3,CJ220)&gt;55,"",IF(COUNTIF($CJ$4:CJ222,CJ220)&gt;=MAX($D$4:$D$8),CJ220+3,CJ220))</f>
        <v>#VALUE!</v>
      </c>
      <c r="CK223" s="1" t="e">
        <f t="shared" si="181"/>
        <v>#VALUE!</v>
      </c>
      <c r="CL223" s="8" t="str">
        <f t="shared" si="196"/>
        <v/>
      </c>
      <c r="CN223" s="71" t="e">
        <f t="shared" si="187"/>
        <v>#VALUE!</v>
      </c>
      <c r="CO223" s="71" t="str">
        <f>IF(OR(COUNTBLANK(CR223)=1,ISERROR(CR223)),"",COUNT($CR$4:CR223))</f>
        <v/>
      </c>
      <c r="CP223" s="7" t="e">
        <f t="shared" si="188"/>
        <v>#VALUE!</v>
      </c>
      <c r="CQ223" s="1" t="str">
        <f t="shared" si="189"/>
        <v/>
      </c>
      <c r="CR223" s="79" t="e">
        <f>IF(IF(COUNTIF($CR$4:CR222,CR219)&gt;=MAX($D$4:$D$8),CR219+4,CR219)&gt;55,"",IF(COUNTIF($CR$4:CR222,CR219)&gt;=MAX($D$4:$D$8),CR219+4,CR219))</f>
        <v>#VALUE!</v>
      </c>
      <c r="CS223" s="1" t="e">
        <f t="shared" si="182"/>
        <v>#VALUE!</v>
      </c>
      <c r="CT223" s="8" t="str">
        <f t="shared" si="190"/>
        <v/>
      </c>
      <c r="CV223" s="71" t="e">
        <f t="shared" si="197"/>
        <v>#VALUE!</v>
      </c>
      <c r="CW223" s="71" t="str">
        <f>IF(OR(COUNTBLANK(CZ223)=1,ISERROR(CZ223)),"",COUNT($CZ$4:CZ223))</f>
        <v/>
      </c>
      <c r="CX223" s="7" t="e">
        <f t="shared" si="198"/>
        <v>#VALUE!</v>
      </c>
      <c r="CY223" s="1" t="str">
        <f t="shared" si="199"/>
        <v/>
      </c>
      <c r="CZ223" s="79" t="e">
        <f>IF(IF(COUNTIF($CZ$4:CZ222,CZ218)&gt;=MAX($D$4:$D$8),CZ218+5,CZ218)&gt;55,"",IF(COUNTIF($CZ$4:CZ222,CZ218)&gt;=MAX($D$4:$D$8),CZ218+5,CZ218))</f>
        <v>#VALUE!</v>
      </c>
      <c r="DA223" s="1" t="e">
        <f t="shared" si="183"/>
        <v>#VALUE!</v>
      </c>
      <c r="DB223" s="8" t="str">
        <f t="shared" si="200"/>
        <v/>
      </c>
    </row>
    <row r="224" spans="5:106" x14ac:dyDescent="0.15">
      <c r="E224" s="1">
        <v>221</v>
      </c>
      <c r="F224" s="1">
        <f t="shared" si="184"/>
        <v>1</v>
      </c>
      <c r="G224" s="1">
        <f t="shared" si="191"/>
        <v>1</v>
      </c>
      <c r="H224" s="1">
        <f t="shared" si="185"/>
        <v>1</v>
      </c>
      <c r="I224" s="1">
        <f t="shared" si="186"/>
        <v>1</v>
      </c>
      <c r="J224" s="1">
        <f t="shared" si="192"/>
        <v>1</v>
      </c>
      <c r="L224" s="1" t="str">
        <f>IF(ISERROR(HLOOKUP($C$10,$F$3:$J$253,222,0)),"",HLOOKUP($C$10,$F$3:$J$253,222,0))</f>
        <v/>
      </c>
      <c r="N224" s="67"/>
      <c r="W224" s="71" t="e">
        <f>IF(AA224="","",AA224*10+1)</f>
        <v>#VALUE!</v>
      </c>
      <c r="X224" s="71" t="str">
        <f>IF(OR(COUNTBLANK(AA224)=1,ISERROR(AA224)),"",COUNT(AA4:AA224))</f>
        <v/>
      </c>
      <c r="Y224" s="7" t="e">
        <f t="shared" si="157"/>
        <v>#VALUE!</v>
      </c>
      <c r="Z224" s="1" t="str">
        <f t="shared" si="171"/>
        <v/>
      </c>
      <c r="AA224" s="79" t="e">
        <f>IF(IF(COUNTIF(AA4:AA223,AA223)&gt;=MAX(D4:D8),AA223+1,AA223)&gt;50,"",IF(COUNTIF(AA4:AA223,AA223)&gt;=MAX(D4:D8),AA223+1,AA223))</f>
        <v>#VALUE!</v>
      </c>
      <c r="AB224" s="1" t="e">
        <f>IF(AA224="","",VLOOKUP(AA224,S4:U53,3,0))</f>
        <v>#VALUE!</v>
      </c>
      <c r="AC224" s="8" t="str">
        <f t="shared" si="158"/>
        <v/>
      </c>
      <c r="AE224" s="71" t="e">
        <f t="shared" si="159"/>
        <v>#VALUE!</v>
      </c>
      <c r="AF224" s="71" t="str">
        <f>IF(OR(COUNTBLANK(AI224)=1,ISERROR(AI224)),"",COUNT(AI4:AI224))</f>
        <v/>
      </c>
      <c r="AG224" s="7" t="e">
        <f t="shared" si="160"/>
        <v>#VALUE!</v>
      </c>
      <c r="AH224" s="1" t="str">
        <f>IF(ISERROR(INDEX(C4:C8,MATCH(G224,D4:D8,0))),"",INDEX(C4:C8,MATCH(G224,D4:D8,0)))</f>
        <v/>
      </c>
      <c r="AI224" s="79" t="e">
        <f>IF(IF(COUNTIF(AI4:AI223,AI222)&gt;=MAX(D4:D8),AI222+2,AI222)&gt;50,"",IF(COUNTIF(AI4:AI223,AI222)&gt;=MAX(D4:D8),AI222+2,AI222))</f>
        <v>#VALUE!</v>
      </c>
      <c r="AJ224" s="1" t="e">
        <f>IF(AI224="","",VLOOKUP(AI224,S4:U53,3,0))</f>
        <v>#VALUE!</v>
      </c>
      <c r="AK224" s="8" t="str">
        <f t="shared" si="161"/>
        <v/>
      </c>
      <c r="AM224" s="71" t="e">
        <f t="shared" si="162"/>
        <v>#VALUE!</v>
      </c>
      <c r="AN224" s="71" t="str">
        <f>IF(OR(COUNTBLANK(AQ224)=1,ISERROR(AQ224)),"",COUNT(AQ4:AQ224))</f>
        <v/>
      </c>
      <c r="AO224" s="7" t="e">
        <f t="shared" si="163"/>
        <v>#VALUE!</v>
      </c>
      <c r="AP224" s="1" t="str">
        <f>IF(ISERROR(INDEX(C4:C8,MATCH(H224,D4:D8,0))),"",INDEX(C4:C8,MATCH(H224,D4:D8,0)))</f>
        <v/>
      </c>
      <c r="AQ224" s="79" t="e">
        <f>IF(IF(COUNTIF(AQ4:AQ223,AQ221)&gt;=MAX(D4:D8),AQ221+3,AQ221)&gt;50,"",IF(COUNTIF(AQ4:AQ223,AQ221)&gt;=MAX(D4:D8),AQ221+3,AQ221))</f>
        <v>#VALUE!</v>
      </c>
      <c r="AR224" s="1" t="e">
        <f>IF(AQ224="","",VLOOKUP(AQ224,S4:U53,3,0))</f>
        <v>#VALUE!</v>
      </c>
      <c r="AS224" s="8" t="str">
        <f t="shared" si="164"/>
        <v/>
      </c>
      <c r="AU224" s="71" t="e">
        <f t="shared" si="165"/>
        <v>#VALUE!</v>
      </c>
      <c r="AV224" s="71" t="str">
        <f>IF(OR(COUNTBLANK(AY224)=1,ISERROR(AY224)),"",COUNT(AY4:AY224))</f>
        <v/>
      </c>
      <c r="AW224" s="7" t="e">
        <f t="shared" si="166"/>
        <v>#VALUE!</v>
      </c>
      <c r="AX224" s="1" t="str">
        <f>IF(ISERROR(INDEX(C4:C8,MATCH(I224,D4:D8,0))),"",INDEX(C4:C8,MATCH(I224,D4:D8,0)))</f>
        <v/>
      </c>
      <c r="AY224" s="79" t="e">
        <f>IF(IF(COUNTIF(AY4:AY223,AY220)&gt;=MAX(D4:D8),AY220+4,AY220)&gt;50,"",IF(COUNTIF(AY4:AY223,AY220)&gt;=MAX(D4:D8),AY220+4,AY220))</f>
        <v>#VALUE!</v>
      </c>
      <c r="AZ224" s="76" t="e">
        <f>IF(AY224="","",VLOOKUP(AY224,S4:U53,3,0))</f>
        <v>#VALUE!</v>
      </c>
      <c r="BA224" s="8" t="str">
        <f t="shared" si="167"/>
        <v/>
      </c>
      <c r="BC224" s="71" t="e">
        <f t="shared" si="168"/>
        <v>#VALUE!</v>
      </c>
      <c r="BD224" s="71" t="str">
        <f>IF(OR(COUNTBLANK(BG224)=1,ISERROR(BG224)),"",COUNT(BG4:BG224))</f>
        <v/>
      </c>
      <c r="BE224" s="7" t="e">
        <f t="shared" si="169"/>
        <v>#VALUE!</v>
      </c>
      <c r="BF224" s="1" t="str">
        <f>IF(ISERROR(INDEX(C4:C8,MATCH(J224,D4:D8,0))),"",INDEX(C4:C8,MATCH(J224,D4:D8,0)))</f>
        <v/>
      </c>
      <c r="BG224" s="79" t="e">
        <f>IF(IF(COUNTIF(BG4:BG223,BG219)&gt;=MAX(D4:D8),BG219+5,BG219)&gt;50,"",IF(COUNTIF(BG4:BG223,BG219)&gt;=MAX(D4:D8),BG219+5,BG219))</f>
        <v>#VALUE!</v>
      </c>
      <c r="BH224" s="76" t="e">
        <f>IF(BG224="","",VLOOKUP(BG224,S4:U53,3,0))</f>
        <v>#VALUE!</v>
      </c>
      <c r="BI224" s="8" t="str">
        <f t="shared" si="170"/>
        <v/>
      </c>
      <c r="BP224" s="71" t="e">
        <f>IF(BT224="","",BT224*10+1)</f>
        <v>#VALUE!</v>
      </c>
      <c r="BQ224" s="71" t="str">
        <f>IF(OR(COUNTBLANK(BT224)=1,ISERROR(BT224)),"",COUNT(BT4:BT224))</f>
        <v/>
      </c>
      <c r="BR224" s="7" t="e">
        <f t="shared" si="172"/>
        <v>#VALUE!</v>
      </c>
      <c r="BS224" s="1" t="str">
        <f t="shared" si="173"/>
        <v/>
      </c>
      <c r="BT224" s="79" t="e">
        <f>IF(IF(COUNTIF($BT$4:BT223,BT223)&gt;=MAX($D$4:$D$8),BT223+1,BT223)&gt;55,"",IF(COUNTIF($BT$4:BT223,BT223)&gt;=MAX($D$4:$D$8),BT223+1,BT223))</f>
        <v>#VALUE!</v>
      </c>
      <c r="BU224" s="1" t="e">
        <f t="shared" si="174"/>
        <v>#VALUE!</v>
      </c>
      <c r="BV224" s="8" t="str">
        <f t="shared" si="175"/>
        <v/>
      </c>
      <c r="BX224" s="71" t="e">
        <f t="shared" si="176"/>
        <v>#VALUE!</v>
      </c>
      <c r="BY224" s="71" t="str">
        <f>IF(OR(COUNTBLANK(CB224)=1,ISERROR(CB224)),"",COUNT($CB$4:CB224))</f>
        <v/>
      </c>
      <c r="BZ224" s="7" t="e">
        <f t="shared" si="177"/>
        <v>#VALUE!</v>
      </c>
      <c r="CA224" s="1" t="str">
        <f t="shared" si="178"/>
        <v/>
      </c>
      <c r="CB224" s="79" t="e">
        <f>IF(IF(COUNTIF($CB$4:CB223,CB222)&gt;=MAX($D$4:$D$8),CB222+2,CB222)&gt;55,"",IF(COUNTIF($CB$4:CB223,CB222)&gt;=MAX($D$4:$D$8),CB222+2,CB222))</f>
        <v>#VALUE!</v>
      </c>
      <c r="CC224" s="1" t="e">
        <f t="shared" si="179"/>
        <v>#VALUE!</v>
      </c>
      <c r="CD224" s="8" t="str">
        <f t="shared" si="180"/>
        <v/>
      </c>
      <c r="CF224" s="71" t="e">
        <f t="shared" si="193"/>
        <v>#VALUE!</v>
      </c>
      <c r="CG224" s="71" t="str">
        <f>IF(OR(COUNTBLANK(CJ224)=1,ISERROR(CJ224)),"",COUNT($CJ$4:CJ224))</f>
        <v/>
      </c>
      <c r="CH224" s="7" t="e">
        <f t="shared" si="194"/>
        <v>#VALUE!</v>
      </c>
      <c r="CI224" s="1" t="str">
        <f t="shared" si="195"/>
        <v/>
      </c>
      <c r="CJ224" s="79" t="e">
        <f>IF(IF(COUNTIF($CJ$4:CJ223,CJ221)&gt;=MAX($D$4:$D$8),CJ221+3,CJ221)&gt;55,"",IF(COUNTIF($CJ$4:CJ223,CJ221)&gt;=MAX($D$4:$D$8),CJ221+3,CJ221))</f>
        <v>#VALUE!</v>
      </c>
      <c r="CK224" s="1" t="e">
        <f t="shared" si="181"/>
        <v>#VALUE!</v>
      </c>
      <c r="CL224" s="8" t="str">
        <f t="shared" si="196"/>
        <v/>
      </c>
      <c r="CN224" s="71" t="e">
        <f t="shared" si="187"/>
        <v>#VALUE!</v>
      </c>
      <c r="CO224" s="71" t="str">
        <f>IF(OR(COUNTBLANK(CR224)=1,ISERROR(CR224)),"",COUNT($CR$4:CR224))</f>
        <v/>
      </c>
      <c r="CP224" s="7" t="e">
        <f t="shared" si="188"/>
        <v>#VALUE!</v>
      </c>
      <c r="CQ224" s="1" t="str">
        <f t="shared" si="189"/>
        <v/>
      </c>
      <c r="CR224" s="79" t="e">
        <f>IF(IF(COUNTIF($CR$4:CR223,CR220)&gt;=MAX($D$4:$D$8),CR220+4,CR220)&gt;55,"",IF(COUNTIF($CR$4:CR223,CR220)&gt;=MAX($D$4:$D$8),CR220+4,CR220))</f>
        <v>#VALUE!</v>
      </c>
      <c r="CS224" s="1" t="e">
        <f t="shared" si="182"/>
        <v>#VALUE!</v>
      </c>
      <c r="CT224" s="8" t="str">
        <f t="shared" si="190"/>
        <v/>
      </c>
      <c r="CV224" s="71" t="e">
        <f t="shared" si="197"/>
        <v>#VALUE!</v>
      </c>
      <c r="CW224" s="71" t="str">
        <f>IF(OR(COUNTBLANK(CZ224)=1,ISERROR(CZ224)),"",COUNT($CZ$4:CZ224))</f>
        <v/>
      </c>
      <c r="CX224" s="7" t="e">
        <f t="shared" si="198"/>
        <v>#VALUE!</v>
      </c>
      <c r="CY224" s="1" t="str">
        <f t="shared" si="199"/>
        <v/>
      </c>
      <c r="CZ224" s="79" t="e">
        <f>IF(IF(COUNTIF($CZ$4:CZ223,CZ219)&gt;=MAX($D$4:$D$8),CZ219+5,CZ219)&gt;55,"",IF(COUNTIF($CZ$4:CZ223,CZ219)&gt;=MAX($D$4:$D$8),CZ219+5,CZ219))</f>
        <v>#VALUE!</v>
      </c>
      <c r="DA224" s="1" t="e">
        <f t="shared" si="183"/>
        <v>#VALUE!</v>
      </c>
      <c r="DB224" s="8" t="str">
        <f t="shared" si="200"/>
        <v/>
      </c>
    </row>
    <row r="225" spans="5:106" x14ac:dyDescent="0.15">
      <c r="E225" s="1">
        <v>222</v>
      </c>
      <c r="F225" s="1">
        <f t="shared" si="184"/>
        <v>1</v>
      </c>
      <c r="G225" s="1">
        <f t="shared" si="191"/>
        <v>1</v>
      </c>
      <c r="H225" s="1">
        <f t="shared" si="185"/>
        <v>1</v>
      </c>
      <c r="I225" s="1">
        <f t="shared" si="186"/>
        <v>1</v>
      </c>
      <c r="J225" s="1">
        <f t="shared" si="192"/>
        <v>1</v>
      </c>
      <c r="L225" s="1" t="str">
        <f>IF(ISERROR(HLOOKUP($C$10,$F$3:$J$253,223,0)),"",HLOOKUP($C$10,$F$3:$J$253,223,0))</f>
        <v/>
      </c>
      <c r="N225" s="67"/>
      <c r="W225" s="71" t="e">
        <f>IF(AA225="","",AA225*10+2)</f>
        <v>#VALUE!</v>
      </c>
      <c r="X225" s="71" t="str">
        <f>IF(OR(COUNTBLANK(AA225)=1,ISERROR(AA225)),"",COUNT(AA4:AA225))</f>
        <v/>
      </c>
      <c r="Y225" s="7" t="e">
        <f t="shared" si="157"/>
        <v>#VALUE!</v>
      </c>
      <c r="Z225" s="1" t="str">
        <f t="shared" si="171"/>
        <v/>
      </c>
      <c r="AA225" s="79" t="e">
        <f>IF(IF(COUNTIF(AA4:AA224,AA224)&gt;=MAX(D4:D8),AA224+1,AA224)&gt;50,"",IF(COUNTIF(AA4:AA224,AA224)&gt;=MAX(D4:D8),AA224+1,AA224))</f>
        <v>#VALUE!</v>
      </c>
      <c r="AB225" s="1" t="e">
        <f>IF(AA225="","",VLOOKUP(AA225,S4:U53,3,0))</f>
        <v>#VALUE!</v>
      </c>
      <c r="AC225" s="8" t="str">
        <f t="shared" si="158"/>
        <v/>
      </c>
      <c r="AE225" s="71" t="e">
        <f t="shared" si="159"/>
        <v>#VALUE!</v>
      </c>
      <c r="AF225" s="71" t="str">
        <f>IF(OR(COUNTBLANK(AI225)=1,ISERROR(AI225)),"",COUNT(AI4:AI225))</f>
        <v/>
      </c>
      <c r="AG225" s="7" t="e">
        <f t="shared" si="160"/>
        <v>#VALUE!</v>
      </c>
      <c r="AH225" s="1" t="str">
        <f>IF(ISERROR(INDEX(C4:C8,MATCH(G225,D4:D8,0))),"",INDEX(C4:C8,MATCH(G225,D4:D8,0)))</f>
        <v/>
      </c>
      <c r="AI225" s="79" t="e">
        <f>IF(IF(COUNTIF(AI4:AI223,AI223)&gt;=MAX(D4:D8),AI223+2,AI223)&gt;50,"",IF(COUNTIF(AI4:AI223,AI223)&gt;=MAX(D4:D8),AI223+2,AI223))</f>
        <v>#VALUE!</v>
      </c>
      <c r="AJ225" s="1" t="e">
        <f>IF(AI225="","",VLOOKUP(AI225,S4:U53,3,0))</f>
        <v>#VALUE!</v>
      </c>
      <c r="AK225" s="8" t="str">
        <f t="shared" si="161"/>
        <v/>
      </c>
      <c r="AM225" s="71" t="e">
        <f t="shared" si="162"/>
        <v>#VALUE!</v>
      </c>
      <c r="AN225" s="71" t="str">
        <f>IF(OR(COUNTBLANK(AQ225)=1,ISERROR(AQ225)),"",COUNT(AQ4:AQ225))</f>
        <v/>
      </c>
      <c r="AO225" s="7" t="e">
        <f t="shared" si="163"/>
        <v>#VALUE!</v>
      </c>
      <c r="AP225" s="1" t="str">
        <f>IF(ISERROR(INDEX(C4:C8,MATCH(H225,D4:D8,0))),"",INDEX(C4:C8,MATCH(H225,D4:D8,0)))</f>
        <v/>
      </c>
      <c r="AQ225" s="79" t="e">
        <f>IF(IF(COUNTIF(AQ4:AQ224,AQ222)&gt;=MAX(D4:D8),AQ222+3,AQ222)&gt;50,"",IF(COUNTIF(AQ4:AQ224,AQ222)&gt;=MAX(D4:D8),AQ222+3,AQ222))</f>
        <v>#VALUE!</v>
      </c>
      <c r="AR225" s="1" t="e">
        <f>IF(AQ225="","",VLOOKUP(AQ225,S4:U53,3,0))</f>
        <v>#VALUE!</v>
      </c>
      <c r="AS225" s="8" t="str">
        <f t="shared" si="164"/>
        <v/>
      </c>
      <c r="AU225" s="71" t="e">
        <f t="shared" si="165"/>
        <v>#VALUE!</v>
      </c>
      <c r="AV225" s="71" t="str">
        <f>IF(OR(COUNTBLANK(AY225)=1,ISERROR(AY225)),"",COUNT(AY4:AY225))</f>
        <v/>
      </c>
      <c r="AW225" s="7" t="e">
        <f t="shared" si="166"/>
        <v>#VALUE!</v>
      </c>
      <c r="AX225" s="1" t="str">
        <f>IF(ISERROR(INDEX(C4:C8,MATCH(I225,D4:D8,0))),"",INDEX(C4:C8,MATCH(I225,D4:D8,0)))</f>
        <v/>
      </c>
      <c r="AY225" s="79" t="e">
        <f>IF(IF(COUNTIF(AY4:AY224,AY221)&gt;=MAX(D4:D8),AY221+4,AY221)&gt;50,"",IF(COUNTIF(AY4:AY224,AY221)&gt;=MAX(D4:D8),AY221+4,AY221))</f>
        <v>#VALUE!</v>
      </c>
      <c r="AZ225" s="76" t="e">
        <f>IF(AY225="","",VLOOKUP(AY225,S4:U53,3,0))</f>
        <v>#VALUE!</v>
      </c>
      <c r="BA225" s="8" t="str">
        <f t="shared" si="167"/>
        <v/>
      </c>
      <c r="BC225" s="71" t="e">
        <f t="shared" si="168"/>
        <v>#VALUE!</v>
      </c>
      <c r="BD225" s="71" t="str">
        <f>IF(OR(COUNTBLANK(BG225)=1,ISERROR(BG225)),"",COUNT(BG4:BG225))</f>
        <v/>
      </c>
      <c r="BE225" s="7" t="e">
        <f t="shared" si="169"/>
        <v>#VALUE!</v>
      </c>
      <c r="BF225" s="1" t="str">
        <f>IF(ISERROR(INDEX(C4:C8,MATCH(J225,D4:D8,0))),"",INDEX(C4:C8,MATCH(J225,D4:D8,0)))</f>
        <v/>
      </c>
      <c r="BG225" s="79" t="e">
        <f>IF(IF(COUNTIF(BG4:BG224,BG220)&gt;=MAX(D4:D8),BG220+5,BG220)&gt;50,"",IF(COUNTIF(BG4:BG224,BG220)&gt;=MAX(D4:D8),BG220+5,BG220))</f>
        <v>#VALUE!</v>
      </c>
      <c r="BH225" s="76" t="e">
        <f>IF(BG225="","",VLOOKUP(BG225,S4:U53,3,0))</f>
        <v>#VALUE!</v>
      </c>
      <c r="BI225" s="8" t="str">
        <f t="shared" si="170"/>
        <v/>
      </c>
      <c r="BP225" s="71" t="e">
        <f>IF(BT225="","",BT225*10+2)</f>
        <v>#VALUE!</v>
      </c>
      <c r="BQ225" s="71" t="str">
        <f>IF(OR(COUNTBLANK(BT225)=1,ISERROR(BT225)),"",COUNT(BT4:BT225))</f>
        <v/>
      </c>
      <c r="BR225" s="7" t="e">
        <f t="shared" si="172"/>
        <v>#VALUE!</v>
      </c>
      <c r="BS225" s="1" t="str">
        <f t="shared" si="173"/>
        <v/>
      </c>
      <c r="BT225" s="79" t="e">
        <f>IF(IF(COUNTIF($BT$4:BT224,BT224)&gt;=MAX($D$4:$D$8),BT224+1,BT224)&gt;55,"",IF(COUNTIF($BT$4:BT224,BT224)&gt;=MAX($D$4:$D$8),BT224+1,BT224))</f>
        <v>#VALUE!</v>
      </c>
      <c r="BU225" s="1" t="e">
        <f t="shared" si="174"/>
        <v>#VALUE!</v>
      </c>
      <c r="BV225" s="8" t="str">
        <f t="shared" si="175"/>
        <v/>
      </c>
      <c r="BX225" s="71" t="e">
        <f t="shared" si="176"/>
        <v>#VALUE!</v>
      </c>
      <c r="BY225" s="71" t="str">
        <f>IF(OR(COUNTBLANK(CB225)=1,ISERROR(CB225)),"",COUNT($CB$4:CB225))</f>
        <v/>
      </c>
      <c r="BZ225" s="7" t="e">
        <f t="shared" si="177"/>
        <v>#VALUE!</v>
      </c>
      <c r="CA225" s="1" t="str">
        <f t="shared" si="178"/>
        <v/>
      </c>
      <c r="CB225" s="79" t="e">
        <f>IF(IF(COUNTIF($CB$4:CB224,CB223)&gt;=MAX($D$4:$D$8),CB223+2,CB223)&gt;55,"",IF(COUNTIF($CB$4:CB224,CB223)&gt;=MAX($D$4:$D$8),CB223+2,CB223))</f>
        <v>#VALUE!</v>
      </c>
      <c r="CC225" s="1" t="e">
        <f t="shared" si="179"/>
        <v>#VALUE!</v>
      </c>
      <c r="CD225" s="8" t="str">
        <f t="shared" si="180"/>
        <v/>
      </c>
      <c r="CF225" s="71" t="e">
        <f t="shared" si="193"/>
        <v>#VALUE!</v>
      </c>
      <c r="CG225" s="71" t="str">
        <f>IF(OR(COUNTBLANK(CJ225)=1,ISERROR(CJ225)),"",COUNT($CJ$4:CJ225))</f>
        <v/>
      </c>
      <c r="CH225" s="7" t="e">
        <f t="shared" si="194"/>
        <v>#VALUE!</v>
      </c>
      <c r="CI225" s="1" t="str">
        <f t="shared" si="195"/>
        <v/>
      </c>
      <c r="CJ225" s="79" t="e">
        <f>IF(IF(COUNTIF($CJ$4:CJ224,CJ222)&gt;=MAX($D$4:$D$8),CJ222+3,CJ222)&gt;55,"",IF(COUNTIF($CJ$4:CJ224,CJ222)&gt;=MAX($D$4:$D$8),CJ222+3,CJ222))</f>
        <v>#VALUE!</v>
      </c>
      <c r="CK225" s="1" t="e">
        <f t="shared" si="181"/>
        <v>#VALUE!</v>
      </c>
      <c r="CL225" s="8" t="str">
        <f t="shared" si="196"/>
        <v/>
      </c>
      <c r="CN225" s="71" t="e">
        <f t="shared" si="187"/>
        <v>#VALUE!</v>
      </c>
      <c r="CO225" s="71" t="str">
        <f>IF(OR(COUNTBLANK(CR225)=1,ISERROR(CR225)),"",COUNT($CR$4:CR225))</f>
        <v/>
      </c>
      <c r="CP225" s="7" t="e">
        <f t="shared" si="188"/>
        <v>#VALUE!</v>
      </c>
      <c r="CQ225" s="1" t="str">
        <f t="shared" si="189"/>
        <v/>
      </c>
      <c r="CR225" s="79" t="e">
        <f>IF(IF(COUNTIF($CR$4:CR224,CR221)&gt;=MAX($D$4:$D$8),CR221+4,CR221)&gt;55,"",IF(COUNTIF($CR$4:CR224,CR221)&gt;=MAX($D$4:$D$8),CR221+4,CR221))</f>
        <v>#VALUE!</v>
      </c>
      <c r="CS225" s="1" t="e">
        <f t="shared" si="182"/>
        <v>#VALUE!</v>
      </c>
      <c r="CT225" s="8" t="str">
        <f t="shared" si="190"/>
        <v/>
      </c>
      <c r="CV225" s="71" t="e">
        <f t="shared" si="197"/>
        <v>#VALUE!</v>
      </c>
      <c r="CW225" s="71" t="str">
        <f>IF(OR(COUNTBLANK(CZ225)=1,ISERROR(CZ225)),"",COUNT($CZ$4:CZ225))</f>
        <v/>
      </c>
      <c r="CX225" s="7" t="e">
        <f t="shared" si="198"/>
        <v>#VALUE!</v>
      </c>
      <c r="CY225" s="1" t="str">
        <f t="shared" si="199"/>
        <v/>
      </c>
      <c r="CZ225" s="79" t="e">
        <f>IF(IF(COUNTIF($CZ$4:CZ224,CZ220)&gt;=MAX($D$4:$D$8),CZ220+5,CZ220)&gt;55,"",IF(COUNTIF($CZ$4:CZ224,CZ220)&gt;=MAX($D$4:$D$8),CZ220+5,CZ220))</f>
        <v>#VALUE!</v>
      </c>
      <c r="DA225" s="1" t="e">
        <f t="shared" si="183"/>
        <v>#VALUE!</v>
      </c>
      <c r="DB225" s="8" t="str">
        <f t="shared" si="200"/>
        <v/>
      </c>
    </row>
    <row r="226" spans="5:106" x14ac:dyDescent="0.15">
      <c r="E226" s="1">
        <v>223</v>
      </c>
      <c r="F226" s="1">
        <f t="shared" si="184"/>
        <v>1</v>
      </c>
      <c r="G226" s="1">
        <f t="shared" si="191"/>
        <v>1</v>
      </c>
      <c r="H226" s="1">
        <f t="shared" si="185"/>
        <v>1</v>
      </c>
      <c r="I226" s="1">
        <f t="shared" si="186"/>
        <v>1</v>
      </c>
      <c r="J226" s="1">
        <f t="shared" si="192"/>
        <v>1</v>
      </c>
      <c r="L226" s="1" t="str">
        <f>IF(ISERROR(HLOOKUP($C$10,$F$3:$J$253,224,0)),"",HLOOKUP($C$10,$F$3:$J$253,224,0))</f>
        <v/>
      </c>
      <c r="N226" s="67"/>
      <c r="W226" s="71" t="e">
        <f>IF(AA226="","",AA226*10+3)</f>
        <v>#VALUE!</v>
      </c>
      <c r="X226" s="71" t="str">
        <f>IF(OR(COUNTBLANK(AA226)=1,ISERROR(AA226)),"",COUNT(AA4:AA226))</f>
        <v/>
      </c>
      <c r="Y226" s="7" t="e">
        <f t="shared" si="157"/>
        <v>#VALUE!</v>
      </c>
      <c r="Z226" s="1" t="str">
        <f t="shared" si="171"/>
        <v/>
      </c>
      <c r="AA226" s="79" t="e">
        <f>IF(IF(COUNTIF(AA4:AA225,AA225)&gt;=MAX(D4:D8),AA225+1,AA225)&gt;50,"",IF(COUNTIF(AA4:AA225,AA225)&gt;=MAX(D4:D8),AA225+1,AA225))</f>
        <v>#VALUE!</v>
      </c>
      <c r="AB226" s="1" t="e">
        <f>IF(AA226="","",VLOOKUP(AA226,S4:U53,3,0))</f>
        <v>#VALUE!</v>
      </c>
      <c r="AC226" s="8" t="str">
        <f t="shared" si="158"/>
        <v/>
      </c>
      <c r="AE226" s="71" t="e">
        <f t="shared" si="159"/>
        <v>#VALUE!</v>
      </c>
      <c r="AF226" s="71" t="str">
        <f>IF(OR(COUNTBLANK(AI226)=1,ISERROR(AI226)),"",COUNT(AI4:AI226))</f>
        <v/>
      </c>
      <c r="AG226" s="7" t="e">
        <f t="shared" si="160"/>
        <v>#VALUE!</v>
      </c>
      <c r="AH226" s="1" t="str">
        <f>IF(ISERROR(INDEX(C4:C8,MATCH(G226,D4:D8,0))),"",INDEX(C4:C8,MATCH(G226,D4:D8,0)))</f>
        <v/>
      </c>
      <c r="AI226" s="79" t="e">
        <f>IF(IF(COUNTIF(AI4:AI225,AI224)&gt;=MAX(D4:D8),AI224+2,AI224)&gt;50,"",IF(COUNTIF(AI4:AI225,AI224)&gt;=MAX(D4:D8),AI224+2,AI224))</f>
        <v>#VALUE!</v>
      </c>
      <c r="AJ226" s="1" t="e">
        <f>IF(AI226="","",VLOOKUP(AI226,S4:U53,3,0))</f>
        <v>#VALUE!</v>
      </c>
      <c r="AK226" s="8" t="str">
        <f t="shared" si="161"/>
        <v/>
      </c>
      <c r="AM226" s="71" t="e">
        <f t="shared" si="162"/>
        <v>#VALUE!</v>
      </c>
      <c r="AN226" s="71" t="str">
        <f>IF(OR(COUNTBLANK(AQ226)=1,ISERROR(AQ226)),"",COUNT(AQ4:AQ226))</f>
        <v/>
      </c>
      <c r="AO226" s="7" t="e">
        <f t="shared" si="163"/>
        <v>#VALUE!</v>
      </c>
      <c r="AP226" s="1" t="str">
        <f>IF(ISERROR(INDEX(C4:C8,MATCH(H226,D4:D8,0))),"",INDEX(C4:C8,MATCH(H226,D4:D8,0)))</f>
        <v/>
      </c>
      <c r="AQ226" s="79" t="e">
        <f>IF(IF(COUNTIF(AQ4:AQ225,AQ223)&gt;=MAX(D4:D8),AQ223+3,AQ223)&gt;50,"",IF(COUNTIF(AQ4:AQ225,AQ223)&gt;=MAX(D4:D8),AQ223+3,AQ223))</f>
        <v>#VALUE!</v>
      </c>
      <c r="AR226" s="1" t="e">
        <f>IF(AQ226="","",VLOOKUP(AQ226,S4:U53,3,0))</f>
        <v>#VALUE!</v>
      </c>
      <c r="AS226" s="8" t="str">
        <f t="shared" si="164"/>
        <v/>
      </c>
      <c r="AU226" s="71" t="e">
        <f t="shared" si="165"/>
        <v>#VALUE!</v>
      </c>
      <c r="AV226" s="71" t="str">
        <f>IF(OR(COUNTBLANK(AY226)=1,ISERROR(AY226)),"",COUNT(AY4:AY226))</f>
        <v/>
      </c>
      <c r="AW226" s="7" t="e">
        <f t="shared" si="166"/>
        <v>#VALUE!</v>
      </c>
      <c r="AX226" s="1" t="str">
        <f>IF(ISERROR(INDEX(C4:C8,MATCH(I226,D4:D8,0))),"",INDEX(C4:C8,MATCH(I226,D4:D8,0)))</f>
        <v/>
      </c>
      <c r="AY226" s="79" t="e">
        <f>IF(IF(COUNTIF(AY4:AY225,AY222)&gt;=MAX(D4:D8),AY222+4,AY222)&gt;50,"",IF(COUNTIF(AY4:AY225,AY222)&gt;=MAX(D4:D8),AY222+4,AY222))</f>
        <v>#VALUE!</v>
      </c>
      <c r="AZ226" s="76" t="e">
        <f>IF(AY226="","",VLOOKUP(AY226,S4:U53,3,0))</f>
        <v>#VALUE!</v>
      </c>
      <c r="BA226" s="8" t="str">
        <f t="shared" si="167"/>
        <v/>
      </c>
      <c r="BC226" s="71" t="e">
        <f t="shared" si="168"/>
        <v>#VALUE!</v>
      </c>
      <c r="BD226" s="71" t="str">
        <f>IF(OR(COUNTBLANK(BG226)=1,ISERROR(BG226)),"",COUNT(BG4:BG226))</f>
        <v/>
      </c>
      <c r="BE226" s="7" t="e">
        <f t="shared" si="169"/>
        <v>#VALUE!</v>
      </c>
      <c r="BF226" s="1" t="str">
        <f>IF(ISERROR(INDEX(C4:C8,MATCH(J226,D4:D8,0))),"",INDEX(C4:C8,MATCH(J226,D4:D8,0)))</f>
        <v/>
      </c>
      <c r="BG226" s="79" t="e">
        <f>IF(IF(COUNTIF(BG4:BG225,BG221)&gt;=MAX(D4:D8),BG221+5,BG221)&gt;50,"",IF(COUNTIF(BG4:BG225,BG221)&gt;=MAX(D4:D8),BG221+5,BG221))</f>
        <v>#VALUE!</v>
      </c>
      <c r="BH226" s="76" t="e">
        <f>IF(BG226="","",VLOOKUP(BG226,S4:U53,3,0))</f>
        <v>#VALUE!</v>
      </c>
      <c r="BI226" s="8" t="str">
        <f t="shared" si="170"/>
        <v/>
      </c>
      <c r="BP226" s="71" t="e">
        <f>IF(BT226="","",BT226*10+3)</f>
        <v>#VALUE!</v>
      </c>
      <c r="BQ226" s="71" t="str">
        <f>IF(OR(COUNTBLANK(BT226)=1,ISERROR(BT226)),"",COUNT(BT4:BT226))</f>
        <v/>
      </c>
      <c r="BR226" s="7" t="e">
        <f t="shared" si="172"/>
        <v>#VALUE!</v>
      </c>
      <c r="BS226" s="1" t="str">
        <f t="shared" si="173"/>
        <v/>
      </c>
      <c r="BT226" s="79" t="e">
        <f>IF(IF(COUNTIF($BT$4:BT225,BT225)&gt;=MAX($D$4:$D$8),BT225+1,BT225)&gt;55,"",IF(COUNTIF($BT$4:BT225,BT225)&gt;=MAX($D$4:$D$8),BT225+1,BT225))</f>
        <v>#VALUE!</v>
      </c>
      <c r="BU226" s="1" t="e">
        <f t="shared" si="174"/>
        <v>#VALUE!</v>
      </c>
      <c r="BV226" s="8" t="str">
        <f t="shared" si="175"/>
        <v/>
      </c>
      <c r="BX226" s="71" t="e">
        <f t="shared" si="176"/>
        <v>#VALUE!</v>
      </c>
      <c r="BY226" s="71" t="str">
        <f>IF(OR(COUNTBLANK(CB226)=1,ISERROR(CB226)),"",COUNT($CB$4:CB226))</f>
        <v/>
      </c>
      <c r="BZ226" s="7" t="e">
        <f t="shared" si="177"/>
        <v>#VALUE!</v>
      </c>
      <c r="CA226" s="1" t="str">
        <f t="shared" si="178"/>
        <v/>
      </c>
      <c r="CB226" s="79" t="e">
        <f>IF(IF(COUNTIF($CB$4:CB225,CB224)&gt;=MAX($D$4:$D$8),CB224+2,CB224)&gt;55,"",IF(COUNTIF($CB$4:CB225,CB224)&gt;=MAX($D$4:$D$8),CB224+2,CB224))</f>
        <v>#VALUE!</v>
      </c>
      <c r="CC226" s="1" t="e">
        <f t="shared" si="179"/>
        <v>#VALUE!</v>
      </c>
      <c r="CD226" s="8" t="str">
        <f t="shared" si="180"/>
        <v/>
      </c>
      <c r="CF226" s="71" t="e">
        <f t="shared" si="193"/>
        <v>#VALUE!</v>
      </c>
      <c r="CG226" s="71" t="str">
        <f>IF(OR(COUNTBLANK(CJ226)=1,ISERROR(CJ226)),"",COUNT($CJ$4:CJ226))</f>
        <v/>
      </c>
      <c r="CH226" s="7" t="e">
        <f t="shared" si="194"/>
        <v>#VALUE!</v>
      </c>
      <c r="CI226" s="1" t="str">
        <f t="shared" si="195"/>
        <v/>
      </c>
      <c r="CJ226" s="79" t="e">
        <f>IF(IF(COUNTIF($CJ$4:CJ225,CJ223)&gt;=MAX($D$4:$D$8),CJ223+3,CJ223)&gt;55,"",IF(COUNTIF($CJ$4:CJ225,CJ223)&gt;=MAX($D$4:$D$8),CJ223+3,CJ223))</f>
        <v>#VALUE!</v>
      </c>
      <c r="CK226" s="1" t="e">
        <f t="shared" si="181"/>
        <v>#VALUE!</v>
      </c>
      <c r="CL226" s="8" t="str">
        <f t="shared" si="196"/>
        <v/>
      </c>
      <c r="CN226" s="71" t="e">
        <f t="shared" si="187"/>
        <v>#VALUE!</v>
      </c>
      <c r="CO226" s="71" t="str">
        <f>IF(OR(COUNTBLANK(CR226)=1,ISERROR(CR226)),"",COUNT($CR$4:CR226))</f>
        <v/>
      </c>
      <c r="CP226" s="7" t="e">
        <f t="shared" si="188"/>
        <v>#VALUE!</v>
      </c>
      <c r="CQ226" s="1" t="str">
        <f t="shared" si="189"/>
        <v/>
      </c>
      <c r="CR226" s="79" t="e">
        <f>IF(IF(COUNTIF($CR$4:CR225,CR222)&gt;=MAX($D$4:$D$8),CR222+4,CR222)&gt;55,"",IF(COUNTIF($CR$4:CR225,CR222)&gt;=MAX($D$4:$D$8),CR222+4,CR222))</f>
        <v>#VALUE!</v>
      </c>
      <c r="CS226" s="1" t="e">
        <f t="shared" si="182"/>
        <v>#VALUE!</v>
      </c>
      <c r="CT226" s="8" t="str">
        <f t="shared" si="190"/>
        <v/>
      </c>
      <c r="CV226" s="71" t="e">
        <f t="shared" si="197"/>
        <v>#VALUE!</v>
      </c>
      <c r="CW226" s="71" t="str">
        <f>IF(OR(COUNTBLANK(CZ226)=1,ISERROR(CZ226)),"",COUNT($CZ$4:CZ226))</f>
        <v/>
      </c>
      <c r="CX226" s="7" t="e">
        <f t="shared" si="198"/>
        <v>#VALUE!</v>
      </c>
      <c r="CY226" s="1" t="str">
        <f t="shared" si="199"/>
        <v/>
      </c>
      <c r="CZ226" s="79" t="e">
        <f>IF(IF(COUNTIF($CZ$4:CZ225,CZ221)&gt;=MAX($D$4:$D$8),CZ221+5,CZ221)&gt;55,"",IF(COUNTIF($CZ$4:CZ225,CZ221)&gt;=MAX($D$4:$D$8),CZ221+5,CZ221))</f>
        <v>#VALUE!</v>
      </c>
      <c r="DA226" s="1" t="e">
        <f t="shared" si="183"/>
        <v>#VALUE!</v>
      </c>
      <c r="DB226" s="8" t="str">
        <f t="shared" si="200"/>
        <v/>
      </c>
    </row>
    <row r="227" spans="5:106" x14ac:dyDescent="0.15">
      <c r="E227" s="1">
        <v>224</v>
      </c>
      <c r="F227" s="1">
        <f t="shared" si="184"/>
        <v>1</v>
      </c>
      <c r="G227" s="1">
        <f t="shared" si="191"/>
        <v>1</v>
      </c>
      <c r="H227" s="1">
        <f t="shared" si="185"/>
        <v>1</v>
      </c>
      <c r="I227" s="1">
        <f t="shared" si="186"/>
        <v>1</v>
      </c>
      <c r="J227" s="1">
        <f t="shared" si="192"/>
        <v>1</v>
      </c>
      <c r="L227" s="1" t="str">
        <f>IF(ISERROR(HLOOKUP($C$10,$F$3:$J$253,225,0)),"",HLOOKUP($C$10,$F$3:$J$253,225,0))</f>
        <v/>
      </c>
      <c r="N227" s="67"/>
      <c r="W227" s="71" t="e">
        <f>IF(AA227="","",AA227*10+4)</f>
        <v>#VALUE!</v>
      </c>
      <c r="X227" s="71" t="str">
        <f>IF(OR(COUNTBLANK(AA227)=1,ISERROR(AA227)),"",COUNT(AA4:AA227))</f>
        <v/>
      </c>
      <c r="Y227" s="7" t="e">
        <f t="shared" si="157"/>
        <v>#VALUE!</v>
      </c>
      <c r="Z227" s="1" t="str">
        <f t="shared" si="171"/>
        <v/>
      </c>
      <c r="AA227" s="79" t="e">
        <f>IF(IF(COUNTIF(AA4:AA226,AA226)&gt;=MAX(D4:D8),AA226+1,AA226)&gt;50,"",IF(COUNTIF(AA4:AA226,AA226)&gt;=MAX(D4:D8),AA226+1,AA226))</f>
        <v>#VALUE!</v>
      </c>
      <c r="AB227" s="1" t="e">
        <f>IF(AA227="","",VLOOKUP(AA227,S4:U53,3,0))</f>
        <v>#VALUE!</v>
      </c>
      <c r="AC227" s="8" t="str">
        <f t="shared" si="158"/>
        <v/>
      </c>
      <c r="AE227" s="71" t="e">
        <f t="shared" si="159"/>
        <v>#VALUE!</v>
      </c>
      <c r="AF227" s="71" t="str">
        <f>IF(OR(COUNTBLANK(AI227)=1,ISERROR(AI227)),"",COUNT(AI4:AI227))</f>
        <v/>
      </c>
      <c r="AG227" s="7" t="e">
        <f t="shared" si="160"/>
        <v>#VALUE!</v>
      </c>
      <c r="AH227" s="1" t="str">
        <f>IF(ISERROR(INDEX(C4:C8,MATCH(G227,D4:D8,0))),"",INDEX(C4:C8,MATCH(G227,D4:D8,0)))</f>
        <v/>
      </c>
      <c r="AI227" s="79" t="e">
        <f>IF(IF(COUNTIF(AI4:AI225,AI225)&gt;=MAX(D4:D8),AI225+2,AI225)&gt;50,"",IF(COUNTIF(AI4:AI225,AI225)&gt;=MAX(D4:D8),AI225+2,AI225))</f>
        <v>#VALUE!</v>
      </c>
      <c r="AJ227" s="1" t="e">
        <f>IF(AI227="","",VLOOKUP(AI227,S4:U53,3,0))</f>
        <v>#VALUE!</v>
      </c>
      <c r="AK227" s="8" t="str">
        <f t="shared" si="161"/>
        <v/>
      </c>
      <c r="AM227" s="71" t="e">
        <f t="shared" si="162"/>
        <v>#VALUE!</v>
      </c>
      <c r="AN227" s="71" t="str">
        <f>IF(OR(COUNTBLANK(AQ227)=1,ISERROR(AQ227)),"",COUNT(AQ4:AQ227))</f>
        <v/>
      </c>
      <c r="AO227" s="7" t="e">
        <f t="shared" si="163"/>
        <v>#VALUE!</v>
      </c>
      <c r="AP227" s="1" t="str">
        <f>IF(ISERROR(INDEX(C4:C8,MATCH(H227,D4:D8,0))),"",INDEX(C4:C8,MATCH(H227,D4:D8,0)))</f>
        <v/>
      </c>
      <c r="AQ227" s="79" t="e">
        <f>IF(IF(COUNTIF(AQ4:AQ226,AQ224)&gt;=MAX(D4:D8),AQ224+3,AQ224)&gt;50,"",IF(COUNTIF(AQ4:AQ226,AQ224)&gt;=MAX(D4:D8),AQ224+3,AQ224))</f>
        <v>#VALUE!</v>
      </c>
      <c r="AR227" s="1" t="e">
        <f>IF(AQ227="","",VLOOKUP(AQ227,S4:U53,3,0))</f>
        <v>#VALUE!</v>
      </c>
      <c r="AS227" s="8" t="str">
        <f t="shared" si="164"/>
        <v/>
      </c>
      <c r="AU227" s="71" t="e">
        <f t="shared" si="165"/>
        <v>#VALUE!</v>
      </c>
      <c r="AV227" s="71" t="str">
        <f>IF(OR(COUNTBLANK(AY227)=1,ISERROR(AY227)),"",COUNT(AY4:AY227))</f>
        <v/>
      </c>
      <c r="AW227" s="7" t="e">
        <f t="shared" si="166"/>
        <v>#VALUE!</v>
      </c>
      <c r="AX227" s="1" t="str">
        <f>IF(ISERROR(INDEX(C4:C8,MATCH(I227,D4:D8,0))),"",INDEX(C4:C8,MATCH(I227,D4:D8,0)))</f>
        <v/>
      </c>
      <c r="AY227" s="79" t="e">
        <f>IF(IF(COUNTIF(AY4:AY226,AY223)&gt;=MAX(D4:D8),AY223+4,AY223)&gt;50,"",IF(COUNTIF(AY4:AY226,AY223)&gt;=MAX(D4:D8),AY223+4,AY223))</f>
        <v>#VALUE!</v>
      </c>
      <c r="AZ227" s="76" t="e">
        <f>IF(AY227="","",VLOOKUP(AY227,S4:U53,3,0))</f>
        <v>#VALUE!</v>
      </c>
      <c r="BA227" s="8" t="str">
        <f t="shared" si="167"/>
        <v/>
      </c>
      <c r="BC227" s="71" t="e">
        <f t="shared" si="168"/>
        <v>#VALUE!</v>
      </c>
      <c r="BD227" s="71" t="str">
        <f>IF(OR(COUNTBLANK(BG227)=1,ISERROR(BG227)),"",COUNT(BG4:BG227))</f>
        <v/>
      </c>
      <c r="BE227" s="7" t="e">
        <f t="shared" si="169"/>
        <v>#VALUE!</v>
      </c>
      <c r="BF227" s="1" t="str">
        <f>IF(ISERROR(INDEX(C4:C8,MATCH(J227,D4:D8,0))),"",INDEX(C4:C8,MATCH(J227,D4:D8,0)))</f>
        <v/>
      </c>
      <c r="BG227" s="79" t="e">
        <f>IF(IF(COUNTIF(BG4:BG226,BG222)&gt;=MAX(D4:D8),BG222+5,BG222)&gt;50,"",IF(COUNTIF(BG4:BG226,BG222)&gt;=MAX(D4:D8),BG222+5,BG222))</f>
        <v>#VALUE!</v>
      </c>
      <c r="BH227" s="76" t="e">
        <f>IF(BG227="","",VLOOKUP(BG227,S4:U53,3,0))</f>
        <v>#VALUE!</v>
      </c>
      <c r="BI227" s="8" t="str">
        <f t="shared" si="170"/>
        <v/>
      </c>
      <c r="BP227" s="71" t="e">
        <f>IF(BT227="","",BT227*10+4)</f>
        <v>#VALUE!</v>
      </c>
      <c r="BQ227" s="71" t="str">
        <f>IF(OR(COUNTBLANK(BT227)=1,ISERROR(BT227)),"",COUNT(BT4:BT227))</f>
        <v/>
      </c>
      <c r="BR227" s="7" t="e">
        <f t="shared" si="172"/>
        <v>#VALUE!</v>
      </c>
      <c r="BS227" s="1" t="str">
        <f t="shared" si="173"/>
        <v/>
      </c>
      <c r="BT227" s="79" t="e">
        <f>IF(IF(COUNTIF($BT$4:BT226,BT226)&gt;=MAX($D$4:$D$8),BT226+1,BT226)&gt;55,"",IF(COUNTIF($BT$4:BT226,BT226)&gt;=MAX($D$4:$D$8),BT226+1,BT226))</f>
        <v>#VALUE!</v>
      </c>
      <c r="BU227" s="1" t="e">
        <f t="shared" si="174"/>
        <v>#VALUE!</v>
      </c>
      <c r="BV227" s="8" t="str">
        <f t="shared" si="175"/>
        <v/>
      </c>
      <c r="BX227" s="71" t="e">
        <f t="shared" si="176"/>
        <v>#VALUE!</v>
      </c>
      <c r="BY227" s="71" t="str">
        <f>IF(OR(COUNTBLANK(CB227)=1,ISERROR(CB227)),"",COUNT($CB$4:CB227))</f>
        <v/>
      </c>
      <c r="BZ227" s="7" t="e">
        <f t="shared" si="177"/>
        <v>#VALUE!</v>
      </c>
      <c r="CA227" s="1" t="str">
        <f t="shared" si="178"/>
        <v/>
      </c>
      <c r="CB227" s="79" t="e">
        <f>IF(IF(COUNTIF($CB$4:CB226,CB225)&gt;=MAX($D$4:$D$8),CB225+2,CB225)&gt;55,"",IF(COUNTIF($CB$4:CB226,CB225)&gt;=MAX($D$4:$D$8),CB225+2,CB225))</f>
        <v>#VALUE!</v>
      </c>
      <c r="CC227" s="1" t="e">
        <f t="shared" si="179"/>
        <v>#VALUE!</v>
      </c>
      <c r="CD227" s="8" t="str">
        <f t="shared" si="180"/>
        <v/>
      </c>
      <c r="CF227" s="71" t="e">
        <f t="shared" si="193"/>
        <v>#VALUE!</v>
      </c>
      <c r="CG227" s="71" t="str">
        <f>IF(OR(COUNTBLANK(CJ227)=1,ISERROR(CJ227)),"",COUNT($CJ$4:CJ227))</f>
        <v/>
      </c>
      <c r="CH227" s="7" t="e">
        <f t="shared" si="194"/>
        <v>#VALUE!</v>
      </c>
      <c r="CI227" s="1" t="str">
        <f t="shared" si="195"/>
        <v/>
      </c>
      <c r="CJ227" s="79" t="e">
        <f>IF(IF(COUNTIF($CJ$4:CJ226,CJ224)&gt;=MAX($D$4:$D$8),CJ224+3,CJ224)&gt;55,"",IF(COUNTIF($CJ$4:CJ226,CJ224)&gt;=MAX($D$4:$D$8),CJ224+3,CJ224))</f>
        <v>#VALUE!</v>
      </c>
      <c r="CK227" s="1" t="e">
        <f t="shared" si="181"/>
        <v>#VALUE!</v>
      </c>
      <c r="CL227" s="8" t="str">
        <f t="shared" si="196"/>
        <v/>
      </c>
      <c r="CN227" s="71" t="e">
        <f t="shared" si="187"/>
        <v>#VALUE!</v>
      </c>
      <c r="CO227" s="71" t="str">
        <f>IF(OR(COUNTBLANK(CR227)=1,ISERROR(CR227)),"",COUNT($CR$4:CR227))</f>
        <v/>
      </c>
      <c r="CP227" s="7" t="e">
        <f t="shared" si="188"/>
        <v>#VALUE!</v>
      </c>
      <c r="CQ227" s="1" t="str">
        <f t="shared" si="189"/>
        <v/>
      </c>
      <c r="CR227" s="79" t="e">
        <f>IF(IF(COUNTIF($CR$4:CR226,CR223)&gt;=MAX($D$4:$D$8),CR223+4,CR223)&gt;55,"",IF(COUNTIF($CR$4:CR226,CR223)&gt;=MAX($D$4:$D$8),CR223+4,CR223))</f>
        <v>#VALUE!</v>
      </c>
      <c r="CS227" s="1" t="e">
        <f t="shared" si="182"/>
        <v>#VALUE!</v>
      </c>
      <c r="CT227" s="8" t="str">
        <f t="shared" si="190"/>
        <v/>
      </c>
      <c r="CV227" s="71" t="e">
        <f t="shared" si="197"/>
        <v>#VALUE!</v>
      </c>
      <c r="CW227" s="71" t="str">
        <f>IF(OR(COUNTBLANK(CZ227)=1,ISERROR(CZ227)),"",COUNT($CZ$4:CZ227))</f>
        <v/>
      </c>
      <c r="CX227" s="7" t="e">
        <f t="shared" si="198"/>
        <v>#VALUE!</v>
      </c>
      <c r="CY227" s="1" t="str">
        <f t="shared" si="199"/>
        <v/>
      </c>
      <c r="CZ227" s="79" t="e">
        <f>IF(IF(COUNTIF($CZ$4:CZ226,CZ222)&gt;=MAX($D$4:$D$8),CZ222+5,CZ222)&gt;55,"",IF(COUNTIF($CZ$4:CZ226,CZ222)&gt;=MAX($D$4:$D$8),CZ222+5,CZ222))</f>
        <v>#VALUE!</v>
      </c>
      <c r="DA227" s="1" t="e">
        <f t="shared" si="183"/>
        <v>#VALUE!</v>
      </c>
      <c r="DB227" s="8" t="str">
        <f t="shared" si="200"/>
        <v/>
      </c>
    </row>
    <row r="228" spans="5:106" x14ac:dyDescent="0.15">
      <c r="E228" s="1">
        <v>225</v>
      </c>
      <c r="F228" s="1">
        <f t="shared" si="184"/>
        <v>1</v>
      </c>
      <c r="G228" s="1">
        <f t="shared" si="191"/>
        <v>1</v>
      </c>
      <c r="H228" s="1">
        <f t="shared" si="185"/>
        <v>1</v>
      </c>
      <c r="I228" s="1">
        <f t="shared" si="186"/>
        <v>1</v>
      </c>
      <c r="J228" s="1">
        <f t="shared" si="192"/>
        <v>1</v>
      </c>
      <c r="L228" s="1" t="str">
        <f>IF(ISERROR(HLOOKUP($C$10,$F$3:$J$253,226,0)),"",HLOOKUP($C$10,$F$3:$J$253,226,0))</f>
        <v/>
      </c>
      <c r="N228" s="67"/>
      <c r="W228" s="71" t="e">
        <f>IF(AA228="","",AA228*10+5)</f>
        <v>#VALUE!</v>
      </c>
      <c r="X228" s="71" t="str">
        <f>IF(OR(COUNTBLANK(AA228)=1,ISERROR(AA228)),"",COUNT(AA4:AA228))</f>
        <v/>
      </c>
      <c r="Y228" s="7" t="e">
        <f t="shared" si="157"/>
        <v>#VALUE!</v>
      </c>
      <c r="Z228" s="1" t="str">
        <f t="shared" si="171"/>
        <v/>
      </c>
      <c r="AA228" s="79" t="e">
        <f>IF(IF(COUNTIF(AA4:AA227,AA227)&gt;=MAX(D4:D8),AA227+1,AA227)&gt;50,"",IF(COUNTIF(AA4:AA227,AA227)&gt;=MAX(D4:D8),AA227+1,AA227))</f>
        <v>#VALUE!</v>
      </c>
      <c r="AB228" s="1" t="e">
        <f>IF(AA228="","",VLOOKUP(AA228,S4:U53,3,0))</f>
        <v>#VALUE!</v>
      </c>
      <c r="AC228" s="8" t="str">
        <f t="shared" si="158"/>
        <v/>
      </c>
      <c r="AE228" s="71" t="e">
        <f t="shared" si="159"/>
        <v>#VALUE!</v>
      </c>
      <c r="AF228" s="71" t="str">
        <f>IF(OR(COUNTBLANK(AI228)=1,ISERROR(AI228)),"",COUNT(AI4:AI228))</f>
        <v/>
      </c>
      <c r="AG228" s="7" t="e">
        <f t="shared" si="160"/>
        <v>#VALUE!</v>
      </c>
      <c r="AH228" s="1" t="str">
        <f>IF(ISERROR(INDEX(C4:C8,MATCH(G228,D4:D8,0))),"",INDEX(C4:C8,MATCH(G228,D4:D8,0)))</f>
        <v/>
      </c>
      <c r="AI228" s="79" t="e">
        <f>IF(IF(COUNTIF(AI4:AI227,AI226)&gt;=MAX(D4:D8),AI226+2,AI226)&gt;50,"",IF(COUNTIF(AI4:AI227,AI226)&gt;=MAX(D4:D8),AI226+2,AI226))</f>
        <v>#VALUE!</v>
      </c>
      <c r="AJ228" s="1" t="e">
        <f>IF(AI228="","",VLOOKUP(AI228,S4:U53,3,0))</f>
        <v>#VALUE!</v>
      </c>
      <c r="AK228" s="8" t="str">
        <f t="shared" si="161"/>
        <v/>
      </c>
      <c r="AM228" s="71" t="e">
        <f t="shared" si="162"/>
        <v>#VALUE!</v>
      </c>
      <c r="AN228" s="71" t="str">
        <f>IF(OR(COUNTBLANK(AQ228)=1,ISERROR(AQ228)),"",COUNT(AQ4:AQ228))</f>
        <v/>
      </c>
      <c r="AO228" s="7" t="e">
        <f t="shared" si="163"/>
        <v>#VALUE!</v>
      </c>
      <c r="AP228" s="1" t="str">
        <f>IF(ISERROR(INDEX(C4:C8,MATCH(H228,D4:D8,0))),"",INDEX(C4:C8,MATCH(H228,D4:D8,0)))</f>
        <v/>
      </c>
      <c r="AQ228" s="79" t="e">
        <f>IF(IF(COUNTIF(AQ4:AQ227,AQ225)&gt;=MAX(D4:D8),AQ225+3,AQ225)&gt;50,"",IF(COUNTIF(AQ4:AQ227,AQ225)&gt;=MAX(D4:D8),AQ225+3,AQ225))</f>
        <v>#VALUE!</v>
      </c>
      <c r="AR228" s="1" t="e">
        <f>IF(AQ228="","",VLOOKUP(AQ228,S4:U53,3,0))</f>
        <v>#VALUE!</v>
      </c>
      <c r="AS228" s="8" t="str">
        <f t="shared" si="164"/>
        <v/>
      </c>
      <c r="AU228" s="71" t="e">
        <f t="shared" si="165"/>
        <v>#VALUE!</v>
      </c>
      <c r="AV228" s="71" t="str">
        <f>IF(OR(COUNTBLANK(AY228)=1,ISERROR(AY228)),"",COUNT(AY4:AY228))</f>
        <v/>
      </c>
      <c r="AW228" s="7" t="e">
        <f t="shared" si="166"/>
        <v>#VALUE!</v>
      </c>
      <c r="AX228" s="1" t="str">
        <f>IF(ISERROR(INDEX(C4:C8,MATCH(I228,D4:D8,0))),"",INDEX(C4:C8,MATCH(I228,D4:D8,0)))</f>
        <v/>
      </c>
      <c r="AY228" s="79" t="e">
        <f>IF(IF(COUNTIF(AY4:AY227,AY224)&gt;=MAX(D4:D8),AY224+4,AY224)&gt;50,"",IF(COUNTIF(AY4:AY227,AY224)&gt;=MAX(D4:D8),AY224+4,AY224))</f>
        <v>#VALUE!</v>
      </c>
      <c r="AZ228" s="76" t="e">
        <f>IF(AY228="","",VLOOKUP(AY228,S4:U53,3,0))</f>
        <v>#VALUE!</v>
      </c>
      <c r="BA228" s="8" t="str">
        <f t="shared" si="167"/>
        <v/>
      </c>
      <c r="BC228" s="71" t="e">
        <f t="shared" si="168"/>
        <v>#VALUE!</v>
      </c>
      <c r="BD228" s="71" t="str">
        <f>IF(OR(COUNTBLANK(BG228)=1,ISERROR(BG228)),"",COUNT(BG4:BG228))</f>
        <v/>
      </c>
      <c r="BE228" s="7" t="e">
        <f t="shared" si="169"/>
        <v>#VALUE!</v>
      </c>
      <c r="BF228" s="1" t="str">
        <f>IF(ISERROR(INDEX(C4:C8,MATCH(J228,D4:D8,0))),"",INDEX(C4:C8,MATCH(J228,D4:D8,0)))</f>
        <v/>
      </c>
      <c r="BG228" s="79" t="e">
        <f>IF(IF(COUNTIF(BG4:BG227,BG223)&gt;=MAX(D4:D8),BG223+5,BG223)&gt;50,"",IF(COUNTIF(BG4:BG227,BG223)&gt;=MAX(D4:D8),BG223+5,BG223))</f>
        <v>#VALUE!</v>
      </c>
      <c r="BH228" s="76" t="e">
        <f>IF(BG228="","",VLOOKUP(BG228,S4:U53,3,0))</f>
        <v>#VALUE!</v>
      </c>
      <c r="BI228" s="8" t="str">
        <f t="shared" si="170"/>
        <v/>
      </c>
      <c r="BP228" s="71" t="e">
        <f>IF(BT228="","",BT228*10+5)</f>
        <v>#VALUE!</v>
      </c>
      <c r="BQ228" s="71" t="str">
        <f>IF(OR(COUNTBLANK(BT228)=1,ISERROR(BT228)),"",COUNT(BT4:BT228))</f>
        <v/>
      </c>
      <c r="BR228" s="7" t="e">
        <f t="shared" si="172"/>
        <v>#VALUE!</v>
      </c>
      <c r="BS228" s="1" t="str">
        <f t="shared" si="173"/>
        <v/>
      </c>
      <c r="BT228" s="79" t="e">
        <f>IF(IF(COUNTIF($BT$4:BT227,BT227)&gt;=MAX($D$4:$D$8),BT227+1,BT227)&gt;55,"",IF(COUNTIF($BT$4:BT227,BT227)&gt;=MAX($D$4:$D$8),BT227+1,BT227))</f>
        <v>#VALUE!</v>
      </c>
      <c r="BU228" s="1" t="e">
        <f t="shared" si="174"/>
        <v>#VALUE!</v>
      </c>
      <c r="BV228" s="8" t="str">
        <f t="shared" si="175"/>
        <v/>
      </c>
      <c r="BX228" s="71" t="e">
        <f t="shared" si="176"/>
        <v>#VALUE!</v>
      </c>
      <c r="BY228" s="71" t="str">
        <f>IF(OR(COUNTBLANK(CB228)=1,ISERROR(CB228)),"",COUNT($CB$4:CB228))</f>
        <v/>
      </c>
      <c r="BZ228" s="7" t="e">
        <f t="shared" si="177"/>
        <v>#VALUE!</v>
      </c>
      <c r="CA228" s="1" t="str">
        <f t="shared" si="178"/>
        <v/>
      </c>
      <c r="CB228" s="79" t="e">
        <f>IF(IF(COUNTIF($CB$4:CB227,CB226)&gt;=MAX($D$4:$D$8),CB226+2,CB226)&gt;55,"",IF(COUNTIF($CB$4:CB227,CB226)&gt;=MAX($D$4:$D$8),CB226+2,CB226))</f>
        <v>#VALUE!</v>
      </c>
      <c r="CC228" s="1" t="e">
        <f t="shared" si="179"/>
        <v>#VALUE!</v>
      </c>
      <c r="CD228" s="8" t="str">
        <f t="shared" si="180"/>
        <v/>
      </c>
      <c r="CF228" s="71" t="e">
        <f t="shared" si="193"/>
        <v>#VALUE!</v>
      </c>
      <c r="CG228" s="71" t="str">
        <f>IF(OR(COUNTBLANK(CJ228)=1,ISERROR(CJ228)),"",COUNT($CJ$4:CJ228))</f>
        <v/>
      </c>
      <c r="CH228" s="7" t="e">
        <f t="shared" si="194"/>
        <v>#VALUE!</v>
      </c>
      <c r="CI228" s="1" t="str">
        <f t="shared" si="195"/>
        <v/>
      </c>
      <c r="CJ228" s="79" t="e">
        <f>IF(IF(COUNTIF($CJ$4:CJ227,CJ225)&gt;=MAX($D$4:$D$8),CJ225+3,CJ225)&gt;55,"",IF(COUNTIF($CJ$4:CJ227,CJ225)&gt;=MAX($D$4:$D$8),CJ225+3,CJ225))</f>
        <v>#VALUE!</v>
      </c>
      <c r="CK228" s="1" t="e">
        <f t="shared" si="181"/>
        <v>#VALUE!</v>
      </c>
      <c r="CL228" s="8" t="str">
        <f t="shared" si="196"/>
        <v/>
      </c>
      <c r="CN228" s="71" t="e">
        <f t="shared" si="187"/>
        <v>#VALUE!</v>
      </c>
      <c r="CO228" s="71" t="str">
        <f>IF(OR(COUNTBLANK(CR228)=1,ISERROR(CR228)),"",COUNT($CR$4:CR228))</f>
        <v/>
      </c>
      <c r="CP228" s="7" t="e">
        <f t="shared" si="188"/>
        <v>#VALUE!</v>
      </c>
      <c r="CQ228" s="1" t="str">
        <f t="shared" si="189"/>
        <v/>
      </c>
      <c r="CR228" s="79" t="e">
        <f>IF(IF(COUNTIF($CR$4:CR227,CR224)&gt;=MAX($D$4:$D$8),CR224+4,CR224)&gt;55,"",IF(COUNTIF($CR$4:CR227,CR224)&gt;=MAX($D$4:$D$8),CR224+4,CR224))</f>
        <v>#VALUE!</v>
      </c>
      <c r="CS228" s="1" t="e">
        <f t="shared" si="182"/>
        <v>#VALUE!</v>
      </c>
      <c r="CT228" s="8" t="str">
        <f t="shared" si="190"/>
        <v/>
      </c>
      <c r="CV228" s="71" t="e">
        <f t="shared" si="197"/>
        <v>#VALUE!</v>
      </c>
      <c r="CW228" s="71" t="str">
        <f>IF(OR(COUNTBLANK(CZ228)=1,ISERROR(CZ228)),"",COUNT($CZ$4:CZ228))</f>
        <v/>
      </c>
      <c r="CX228" s="7" t="e">
        <f t="shared" si="198"/>
        <v>#VALUE!</v>
      </c>
      <c r="CY228" s="1" t="str">
        <f t="shared" si="199"/>
        <v/>
      </c>
      <c r="CZ228" s="79" t="e">
        <f>IF(IF(COUNTIF($CZ$4:CZ227,CZ223)&gt;=MAX($D$4:$D$8),CZ223+5,CZ223)&gt;55,"",IF(COUNTIF($CZ$4:CZ227,CZ223)&gt;=MAX($D$4:$D$8),CZ223+5,CZ223))</f>
        <v>#VALUE!</v>
      </c>
      <c r="DA228" s="1" t="e">
        <f t="shared" si="183"/>
        <v>#VALUE!</v>
      </c>
      <c r="DB228" s="8" t="str">
        <f t="shared" si="200"/>
        <v/>
      </c>
    </row>
    <row r="229" spans="5:106" x14ac:dyDescent="0.15">
      <c r="E229" s="1">
        <v>226</v>
      </c>
      <c r="F229" s="1">
        <f t="shared" si="184"/>
        <v>1</v>
      </c>
      <c r="G229" s="1">
        <f t="shared" si="191"/>
        <v>1</v>
      </c>
      <c r="H229" s="1">
        <f t="shared" si="185"/>
        <v>1</v>
      </c>
      <c r="I229" s="1">
        <f t="shared" si="186"/>
        <v>1</v>
      </c>
      <c r="J229" s="1">
        <f t="shared" si="192"/>
        <v>1</v>
      </c>
      <c r="L229" s="1" t="str">
        <f>IF(ISERROR(HLOOKUP($C$10,$F$3:$J$253,227,0)),"",HLOOKUP($C$10,$F$3:$J$253,227,0))</f>
        <v/>
      </c>
      <c r="N229" s="67"/>
      <c r="W229" s="71" t="e">
        <f>IF(AA229="","",AA229*10+1)</f>
        <v>#VALUE!</v>
      </c>
      <c r="X229" s="71" t="str">
        <f>IF(OR(COUNTBLANK(AA229)=1,ISERROR(AA229)),"",COUNT(AA4:AA229))</f>
        <v/>
      </c>
      <c r="Y229" s="7" t="e">
        <f t="shared" si="157"/>
        <v>#VALUE!</v>
      </c>
      <c r="Z229" s="1" t="str">
        <f t="shared" si="171"/>
        <v/>
      </c>
      <c r="AA229" s="79" t="e">
        <f>IF(IF(COUNTIF(AA4:AA228,AA228)&gt;=MAX(D4:D8),AA228+1,AA228)&gt;50,"",IF(COUNTIF(AA4:AA228,AA228)&gt;=MAX(D4:D8),AA228+1,AA228))</f>
        <v>#VALUE!</v>
      </c>
      <c r="AB229" s="1" t="e">
        <f>IF(AA229="","",VLOOKUP(AA229,S4:U53,3,0))</f>
        <v>#VALUE!</v>
      </c>
      <c r="AC229" s="8" t="str">
        <f t="shared" si="158"/>
        <v/>
      </c>
      <c r="AE229" s="71" t="e">
        <f t="shared" si="159"/>
        <v>#VALUE!</v>
      </c>
      <c r="AF229" s="71" t="str">
        <f>IF(OR(COUNTBLANK(AI229)=1,ISERROR(AI229)),"",COUNT(AI4:AI229))</f>
        <v/>
      </c>
      <c r="AG229" s="7" t="e">
        <f t="shared" si="160"/>
        <v>#VALUE!</v>
      </c>
      <c r="AH229" s="1" t="str">
        <f>IF(ISERROR(INDEX(C4:C8,MATCH(G229,D4:D8,0))),"",INDEX(C4:C8,MATCH(G229,D4:D8,0)))</f>
        <v/>
      </c>
      <c r="AI229" s="79" t="e">
        <f>IF(IF(COUNTIF(AI4:AI227,AI227)&gt;=MAX(D4:D8),AI227+2,AI227)&gt;50,"",IF(COUNTIF(AI4:AI227,AI227)&gt;=MAX(D4:D8),AI227+2,AI227))</f>
        <v>#VALUE!</v>
      </c>
      <c r="AJ229" s="1" t="e">
        <f>IF(AI229="","",VLOOKUP(AI229,S4:U53,3,0))</f>
        <v>#VALUE!</v>
      </c>
      <c r="AK229" s="8" t="str">
        <f t="shared" si="161"/>
        <v/>
      </c>
      <c r="AM229" s="71" t="e">
        <f t="shared" si="162"/>
        <v>#VALUE!</v>
      </c>
      <c r="AN229" s="71" t="str">
        <f>IF(OR(COUNTBLANK(AQ229)=1,ISERROR(AQ229)),"",COUNT(AQ4:AQ229))</f>
        <v/>
      </c>
      <c r="AO229" s="7" t="e">
        <f t="shared" si="163"/>
        <v>#VALUE!</v>
      </c>
      <c r="AP229" s="1" t="str">
        <f>IF(ISERROR(INDEX(C4:C8,MATCH(H229,D4:D8,0))),"",INDEX(C4:C8,MATCH(H229,D4:D8,0)))</f>
        <v/>
      </c>
      <c r="AQ229" s="79" t="e">
        <f>IF(IF(COUNTIF(AQ4:AQ228,AQ226)&gt;=MAX(D4:D8),AQ226+3,AQ226)&gt;50,"",IF(COUNTIF(AQ4:AQ228,AQ226)&gt;=MAX(D4:D8),AQ226+3,AQ226))</f>
        <v>#VALUE!</v>
      </c>
      <c r="AR229" s="1" t="e">
        <f>IF(AQ229="","",VLOOKUP(AQ229,S4:U53,3,0))</f>
        <v>#VALUE!</v>
      </c>
      <c r="AS229" s="8" t="str">
        <f t="shared" si="164"/>
        <v/>
      </c>
      <c r="AU229" s="71" t="e">
        <f t="shared" si="165"/>
        <v>#VALUE!</v>
      </c>
      <c r="AV229" s="71" t="str">
        <f>IF(OR(COUNTBLANK(AY229)=1,ISERROR(AY229)),"",COUNT(AY4:AY229))</f>
        <v/>
      </c>
      <c r="AW229" s="7" t="e">
        <f t="shared" si="166"/>
        <v>#VALUE!</v>
      </c>
      <c r="AX229" s="1" t="str">
        <f>IF(ISERROR(INDEX(C4:C8,MATCH(I229,D4:D8,0))),"",INDEX(C4:C8,MATCH(I229,D4:D8,0)))</f>
        <v/>
      </c>
      <c r="AY229" s="79" t="e">
        <f>IF(IF(COUNTIF(AY4:AY228,AY225)&gt;=MAX(D4:D8),AY225+4,AY225)&gt;50,"",IF(COUNTIF(AY4:AY228,AY225)&gt;=MAX(D4:D8),AY225+4,AY225))</f>
        <v>#VALUE!</v>
      </c>
      <c r="AZ229" s="76" t="e">
        <f>IF(AY229="","",VLOOKUP(AY229,S4:U53,3,0))</f>
        <v>#VALUE!</v>
      </c>
      <c r="BA229" s="8" t="str">
        <f t="shared" si="167"/>
        <v/>
      </c>
      <c r="BC229" s="71" t="e">
        <f t="shared" si="168"/>
        <v>#VALUE!</v>
      </c>
      <c r="BD229" s="71" t="str">
        <f>IF(OR(COUNTBLANK(BG229)=1,ISERROR(BG229)),"",COUNT(BG4:BG229))</f>
        <v/>
      </c>
      <c r="BE229" s="7" t="e">
        <f t="shared" si="169"/>
        <v>#VALUE!</v>
      </c>
      <c r="BF229" s="1" t="str">
        <f>IF(ISERROR(INDEX(C4:C8,MATCH(J229,D4:D8,0))),"",INDEX(C4:C8,MATCH(J229,D4:D8,0)))</f>
        <v/>
      </c>
      <c r="BG229" s="79" t="e">
        <f>IF(IF(COUNTIF(BG4:BG228,BG224)&gt;=MAX(D4:D8),BG224+5,BG224)&gt;50,"",IF(COUNTIF(BG4:BG228,BG224)&gt;=MAX(D4:D8),BG224+5,BG224))</f>
        <v>#VALUE!</v>
      </c>
      <c r="BH229" s="76" t="e">
        <f>IF(BG229="","",VLOOKUP(BG229,S4:U53,3,0))</f>
        <v>#VALUE!</v>
      </c>
      <c r="BI229" s="8" t="str">
        <f t="shared" si="170"/>
        <v/>
      </c>
      <c r="BP229" s="71" t="e">
        <f>IF(BT229="","",BT229*10+1)</f>
        <v>#VALUE!</v>
      </c>
      <c r="BQ229" s="71" t="str">
        <f>IF(OR(COUNTBLANK(BT229)=1,ISERROR(BT229)),"",COUNT(BT4:BT229))</f>
        <v/>
      </c>
      <c r="BR229" s="7" t="e">
        <f t="shared" si="172"/>
        <v>#VALUE!</v>
      </c>
      <c r="BS229" s="1" t="str">
        <f t="shared" si="173"/>
        <v/>
      </c>
      <c r="BT229" s="79" t="e">
        <f>IF(IF(COUNTIF($BT$4:BT228,BT228)&gt;=MAX($D$4:$D$8),BT228+1,BT228)&gt;55,"",IF(COUNTIF($BT$4:BT228,BT228)&gt;=MAX($D$4:$D$8),BT228+1,BT228))</f>
        <v>#VALUE!</v>
      </c>
      <c r="BU229" s="1" t="e">
        <f t="shared" si="174"/>
        <v>#VALUE!</v>
      </c>
      <c r="BV229" s="8" t="str">
        <f t="shared" si="175"/>
        <v/>
      </c>
      <c r="BX229" s="71" t="e">
        <f t="shared" si="176"/>
        <v>#VALUE!</v>
      </c>
      <c r="BY229" s="71" t="str">
        <f>IF(OR(COUNTBLANK(CB229)=1,ISERROR(CB229)),"",COUNT($CB$4:CB229))</f>
        <v/>
      </c>
      <c r="BZ229" s="7" t="e">
        <f t="shared" si="177"/>
        <v>#VALUE!</v>
      </c>
      <c r="CA229" s="1" t="str">
        <f t="shared" si="178"/>
        <v/>
      </c>
      <c r="CB229" s="79" t="e">
        <f>IF(IF(COUNTIF($CB$4:CB228,CB227)&gt;=MAX($D$4:$D$8),CB227+2,CB227)&gt;55,"",IF(COUNTIF($CB$4:CB228,CB227)&gt;=MAX($D$4:$D$8),CB227+2,CB227))</f>
        <v>#VALUE!</v>
      </c>
      <c r="CC229" s="1" t="e">
        <f t="shared" si="179"/>
        <v>#VALUE!</v>
      </c>
      <c r="CD229" s="8" t="str">
        <f t="shared" si="180"/>
        <v/>
      </c>
      <c r="CF229" s="71" t="e">
        <f t="shared" si="193"/>
        <v>#VALUE!</v>
      </c>
      <c r="CG229" s="71" t="str">
        <f>IF(OR(COUNTBLANK(CJ229)=1,ISERROR(CJ229)),"",COUNT($CJ$4:CJ229))</f>
        <v/>
      </c>
      <c r="CH229" s="7" t="e">
        <f t="shared" si="194"/>
        <v>#VALUE!</v>
      </c>
      <c r="CI229" s="1" t="str">
        <f t="shared" si="195"/>
        <v/>
      </c>
      <c r="CJ229" s="79" t="e">
        <f>IF(IF(COUNTIF($CJ$4:CJ228,CJ226)&gt;=MAX($D$4:$D$8),CJ226+3,CJ226)&gt;55,"",IF(COUNTIF($CJ$4:CJ228,CJ226)&gt;=MAX($D$4:$D$8),CJ226+3,CJ226))</f>
        <v>#VALUE!</v>
      </c>
      <c r="CK229" s="1" t="e">
        <f t="shared" si="181"/>
        <v>#VALUE!</v>
      </c>
      <c r="CL229" s="8" t="str">
        <f t="shared" si="196"/>
        <v/>
      </c>
      <c r="CN229" s="71" t="e">
        <f t="shared" si="187"/>
        <v>#VALUE!</v>
      </c>
      <c r="CO229" s="71" t="str">
        <f>IF(OR(COUNTBLANK(CR229)=1,ISERROR(CR229)),"",COUNT($CR$4:CR229))</f>
        <v/>
      </c>
      <c r="CP229" s="7" t="e">
        <f t="shared" si="188"/>
        <v>#VALUE!</v>
      </c>
      <c r="CQ229" s="1" t="str">
        <f t="shared" si="189"/>
        <v/>
      </c>
      <c r="CR229" s="79" t="e">
        <f>IF(IF(COUNTIF($CR$4:CR228,CR225)&gt;=MAX($D$4:$D$8),CR225+4,CR225)&gt;55,"",IF(COUNTIF($CR$4:CR228,CR225)&gt;=MAX($D$4:$D$8),CR225+4,CR225))</f>
        <v>#VALUE!</v>
      </c>
      <c r="CS229" s="1" t="e">
        <f t="shared" si="182"/>
        <v>#VALUE!</v>
      </c>
      <c r="CT229" s="8" t="str">
        <f t="shared" si="190"/>
        <v/>
      </c>
      <c r="CV229" s="71" t="e">
        <f t="shared" si="197"/>
        <v>#VALUE!</v>
      </c>
      <c r="CW229" s="71" t="str">
        <f>IF(OR(COUNTBLANK(CZ229)=1,ISERROR(CZ229)),"",COUNT($CZ$4:CZ229))</f>
        <v/>
      </c>
      <c r="CX229" s="7" t="e">
        <f t="shared" si="198"/>
        <v>#VALUE!</v>
      </c>
      <c r="CY229" s="1" t="str">
        <f t="shared" si="199"/>
        <v/>
      </c>
      <c r="CZ229" s="79" t="e">
        <f>IF(IF(COUNTIF($CZ$4:CZ228,CZ224)&gt;=MAX($D$4:$D$8),CZ224+5,CZ224)&gt;55,"",IF(COUNTIF($CZ$4:CZ228,CZ224)&gt;=MAX($D$4:$D$8),CZ224+5,CZ224))</f>
        <v>#VALUE!</v>
      </c>
      <c r="DA229" s="1" t="e">
        <f t="shared" si="183"/>
        <v>#VALUE!</v>
      </c>
      <c r="DB229" s="8" t="str">
        <f t="shared" si="200"/>
        <v/>
      </c>
    </row>
    <row r="230" spans="5:106" x14ac:dyDescent="0.15">
      <c r="E230" s="1">
        <v>227</v>
      </c>
      <c r="F230" s="1">
        <f t="shared" si="184"/>
        <v>1</v>
      </c>
      <c r="G230" s="1">
        <f t="shared" si="191"/>
        <v>1</v>
      </c>
      <c r="H230" s="1">
        <f t="shared" si="185"/>
        <v>1</v>
      </c>
      <c r="I230" s="1">
        <f t="shared" si="186"/>
        <v>1</v>
      </c>
      <c r="J230" s="1">
        <f t="shared" si="192"/>
        <v>1</v>
      </c>
      <c r="L230" s="1" t="str">
        <f>IF(ISERROR(HLOOKUP($C$10,$F$3:$J$253,228,0)),"",HLOOKUP($C$10,$F$3:$J$253,228,0))</f>
        <v/>
      </c>
      <c r="N230" s="67"/>
      <c r="W230" s="71" t="e">
        <f>IF(AA230="","",AA230*10+2)</f>
        <v>#VALUE!</v>
      </c>
      <c r="X230" s="71" t="str">
        <f>IF(OR(COUNTBLANK(AA230)=1,ISERROR(AA230)),"",COUNT(AA4:AA230))</f>
        <v/>
      </c>
      <c r="Y230" s="7" t="e">
        <f t="shared" si="157"/>
        <v>#VALUE!</v>
      </c>
      <c r="Z230" s="1" t="str">
        <f t="shared" si="171"/>
        <v/>
      </c>
      <c r="AA230" s="79" t="e">
        <f>IF(IF(COUNTIF(AA4:AA229,AA229)&gt;=MAX(D4:D8),AA229+1,AA229)&gt;50,"",IF(COUNTIF(AA4:AA229,AA229)&gt;=MAX(D4:D8),AA229+1,AA229))</f>
        <v>#VALUE!</v>
      </c>
      <c r="AB230" s="1" t="e">
        <f>IF(AA230="","",VLOOKUP(AA230,S4:U53,3,0))</f>
        <v>#VALUE!</v>
      </c>
      <c r="AC230" s="8" t="str">
        <f t="shared" si="158"/>
        <v/>
      </c>
      <c r="AE230" s="71" t="e">
        <f t="shared" si="159"/>
        <v>#VALUE!</v>
      </c>
      <c r="AF230" s="71" t="str">
        <f>IF(OR(COUNTBLANK(AI230)=1,ISERROR(AI230)),"",COUNT(AI4:AI230))</f>
        <v/>
      </c>
      <c r="AG230" s="7" t="e">
        <f t="shared" si="160"/>
        <v>#VALUE!</v>
      </c>
      <c r="AH230" s="1" t="str">
        <f>IF(ISERROR(INDEX(C4:C8,MATCH(G230,D4:D8,0))),"",INDEX(C4:C8,MATCH(G230,D4:D8,0)))</f>
        <v/>
      </c>
      <c r="AI230" s="79" t="e">
        <f>IF(IF(COUNTIF(AI4:AI229,AI228)&gt;=MAX(D4:D8),AI228+2,AI228)&gt;50,"",IF(COUNTIF(AI4:AI229,AI228)&gt;=MAX(D4:D8),AI228+2,AI228))</f>
        <v>#VALUE!</v>
      </c>
      <c r="AJ230" s="1" t="e">
        <f>IF(AI230="","",VLOOKUP(AI230,S4:U53,3,0))</f>
        <v>#VALUE!</v>
      </c>
      <c r="AK230" s="8" t="str">
        <f t="shared" si="161"/>
        <v/>
      </c>
      <c r="AM230" s="71" t="e">
        <f t="shared" si="162"/>
        <v>#VALUE!</v>
      </c>
      <c r="AN230" s="71" t="str">
        <f>IF(OR(COUNTBLANK(AQ230)=1,ISERROR(AQ230)),"",COUNT(AQ4:AQ230))</f>
        <v/>
      </c>
      <c r="AO230" s="7" t="e">
        <f t="shared" si="163"/>
        <v>#VALUE!</v>
      </c>
      <c r="AP230" s="1" t="str">
        <f>IF(ISERROR(INDEX(C4:C8,MATCH(H230,D4:D8,0))),"",INDEX(C4:C8,MATCH(H230,D4:D8,0)))</f>
        <v/>
      </c>
      <c r="AQ230" s="79" t="e">
        <f>IF(IF(COUNTIF(AQ4:AQ229,AQ227)&gt;=MAX(D4:D8),AQ227+3,AQ227)&gt;50,"",IF(COUNTIF(AQ4:AQ229,AQ227)&gt;=MAX(D4:D8),AQ227+3,AQ227))</f>
        <v>#VALUE!</v>
      </c>
      <c r="AR230" s="1" t="e">
        <f>IF(AQ230="","",VLOOKUP(AQ230,S4:U53,3,0))</f>
        <v>#VALUE!</v>
      </c>
      <c r="AS230" s="8" t="str">
        <f t="shared" si="164"/>
        <v/>
      </c>
      <c r="AU230" s="71" t="e">
        <f t="shared" si="165"/>
        <v>#VALUE!</v>
      </c>
      <c r="AV230" s="71" t="str">
        <f>IF(OR(COUNTBLANK(AY230)=1,ISERROR(AY230)),"",COUNT(AY4:AY230))</f>
        <v/>
      </c>
      <c r="AW230" s="7" t="e">
        <f t="shared" si="166"/>
        <v>#VALUE!</v>
      </c>
      <c r="AX230" s="1" t="str">
        <f>IF(ISERROR(INDEX(C4:C8,MATCH(I230,D4:D8,0))),"",INDEX(C4:C8,MATCH(I230,D4:D8,0)))</f>
        <v/>
      </c>
      <c r="AY230" s="79" t="e">
        <f>IF(IF(COUNTIF(AY4:AY229,AY226)&gt;=MAX(D4:D8),AY226+4,AY226)&gt;50,"",IF(COUNTIF(AY4:AY229,AY226)&gt;=MAX(D4:D8),AY226+4,AY226))</f>
        <v>#VALUE!</v>
      </c>
      <c r="AZ230" s="76" t="e">
        <f>IF(AY230="","",VLOOKUP(AY230,S4:U53,3,0))</f>
        <v>#VALUE!</v>
      </c>
      <c r="BA230" s="8" t="str">
        <f t="shared" si="167"/>
        <v/>
      </c>
      <c r="BC230" s="71" t="e">
        <f t="shared" si="168"/>
        <v>#VALUE!</v>
      </c>
      <c r="BD230" s="71" t="str">
        <f>IF(OR(COUNTBLANK(BG230)=1,ISERROR(BG230)),"",COUNT(BG4:BG230))</f>
        <v/>
      </c>
      <c r="BE230" s="7" t="e">
        <f t="shared" si="169"/>
        <v>#VALUE!</v>
      </c>
      <c r="BF230" s="1" t="str">
        <f>IF(ISERROR(INDEX(C4:C8,MATCH(J230,D4:D8,0))),"",INDEX(C4:C8,MATCH(J230,D4:D8,0)))</f>
        <v/>
      </c>
      <c r="BG230" s="79" t="e">
        <f>IF(IF(COUNTIF(BG4:BG229,BG225)&gt;=MAX(D4:D8),BG225+5,BG225)&gt;50,"",IF(COUNTIF(BG4:BG229,BG225)&gt;=MAX(D4:D8),BG225+5,BG225))</f>
        <v>#VALUE!</v>
      </c>
      <c r="BH230" s="76" t="e">
        <f>IF(BG230="","",VLOOKUP(BG230,S4:U53,3,0))</f>
        <v>#VALUE!</v>
      </c>
      <c r="BI230" s="8" t="str">
        <f t="shared" si="170"/>
        <v/>
      </c>
      <c r="BP230" s="71" t="e">
        <f>IF(BT230="","",BT230*10+2)</f>
        <v>#VALUE!</v>
      </c>
      <c r="BQ230" s="71" t="str">
        <f>IF(OR(COUNTBLANK(BT230)=1,ISERROR(BT230)),"",COUNT(BT4:BT230))</f>
        <v/>
      </c>
      <c r="BR230" s="7" t="e">
        <f t="shared" si="172"/>
        <v>#VALUE!</v>
      </c>
      <c r="BS230" s="1" t="str">
        <f t="shared" si="173"/>
        <v/>
      </c>
      <c r="BT230" s="79" t="e">
        <f>IF(IF(COUNTIF($BT$4:BT229,BT229)&gt;=MAX($D$4:$D$8),BT229+1,BT229)&gt;55,"",IF(COUNTIF($BT$4:BT229,BT229)&gt;=MAX($D$4:$D$8),BT229+1,BT229))</f>
        <v>#VALUE!</v>
      </c>
      <c r="BU230" s="1" t="e">
        <f t="shared" si="174"/>
        <v>#VALUE!</v>
      </c>
      <c r="BV230" s="8" t="str">
        <f t="shared" si="175"/>
        <v/>
      </c>
      <c r="BX230" s="71" t="e">
        <f t="shared" si="176"/>
        <v>#VALUE!</v>
      </c>
      <c r="BY230" s="71" t="str">
        <f>IF(OR(COUNTBLANK(CB230)=1,ISERROR(CB230)),"",COUNT($CB$4:CB230))</f>
        <v/>
      </c>
      <c r="BZ230" s="7" t="e">
        <f t="shared" si="177"/>
        <v>#VALUE!</v>
      </c>
      <c r="CA230" s="1" t="str">
        <f t="shared" si="178"/>
        <v/>
      </c>
      <c r="CB230" s="79" t="e">
        <f>IF(IF(COUNTIF($CB$4:CB229,CB228)&gt;=MAX($D$4:$D$8),CB228+2,CB228)&gt;55,"",IF(COUNTIF($CB$4:CB229,CB228)&gt;=MAX($D$4:$D$8),CB228+2,CB228))</f>
        <v>#VALUE!</v>
      </c>
      <c r="CC230" s="1" t="e">
        <f t="shared" si="179"/>
        <v>#VALUE!</v>
      </c>
      <c r="CD230" s="8" t="str">
        <f t="shared" si="180"/>
        <v/>
      </c>
      <c r="CF230" s="71" t="e">
        <f t="shared" si="193"/>
        <v>#VALUE!</v>
      </c>
      <c r="CG230" s="71" t="str">
        <f>IF(OR(COUNTBLANK(CJ230)=1,ISERROR(CJ230)),"",COUNT($CJ$4:CJ230))</f>
        <v/>
      </c>
      <c r="CH230" s="7" t="e">
        <f t="shared" si="194"/>
        <v>#VALUE!</v>
      </c>
      <c r="CI230" s="1" t="str">
        <f t="shared" si="195"/>
        <v/>
      </c>
      <c r="CJ230" s="79" t="e">
        <f>IF(IF(COUNTIF($CJ$4:CJ229,CJ227)&gt;=MAX($D$4:$D$8),CJ227+3,CJ227)&gt;55,"",IF(COUNTIF($CJ$4:CJ229,CJ227)&gt;=MAX($D$4:$D$8),CJ227+3,CJ227))</f>
        <v>#VALUE!</v>
      </c>
      <c r="CK230" s="1" t="e">
        <f t="shared" si="181"/>
        <v>#VALUE!</v>
      </c>
      <c r="CL230" s="8" t="str">
        <f t="shared" si="196"/>
        <v/>
      </c>
      <c r="CN230" s="71" t="e">
        <f t="shared" si="187"/>
        <v>#VALUE!</v>
      </c>
      <c r="CO230" s="71" t="str">
        <f>IF(OR(COUNTBLANK(CR230)=1,ISERROR(CR230)),"",COUNT($CR$4:CR230))</f>
        <v/>
      </c>
      <c r="CP230" s="7" t="e">
        <f t="shared" si="188"/>
        <v>#VALUE!</v>
      </c>
      <c r="CQ230" s="1" t="str">
        <f t="shared" si="189"/>
        <v/>
      </c>
      <c r="CR230" s="79" t="e">
        <f>IF(IF(COUNTIF($CR$4:CR229,CR226)&gt;=MAX($D$4:$D$8),CR226+4,CR226)&gt;55,"",IF(COUNTIF($CR$4:CR229,CR226)&gt;=MAX($D$4:$D$8),CR226+4,CR226))</f>
        <v>#VALUE!</v>
      </c>
      <c r="CS230" s="1" t="e">
        <f t="shared" si="182"/>
        <v>#VALUE!</v>
      </c>
      <c r="CT230" s="8" t="str">
        <f t="shared" si="190"/>
        <v/>
      </c>
      <c r="CV230" s="71" t="e">
        <f t="shared" si="197"/>
        <v>#VALUE!</v>
      </c>
      <c r="CW230" s="71" t="str">
        <f>IF(OR(COUNTBLANK(CZ230)=1,ISERROR(CZ230)),"",COUNT($CZ$4:CZ230))</f>
        <v/>
      </c>
      <c r="CX230" s="7" t="e">
        <f t="shared" si="198"/>
        <v>#VALUE!</v>
      </c>
      <c r="CY230" s="1" t="str">
        <f t="shared" si="199"/>
        <v/>
      </c>
      <c r="CZ230" s="79" t="e">
        <f>IF(IF(COUNTIF($CZ$4:CZ229,CZ225)&gt;=MAX($D$4:$D$8),CZ225+5,CZ225)&gt;55,"",IF(COUNTIF($CZ$4:CZ229,CZ225)&gt;=MAX($D$4:$D$8),CZ225+5,CZ225))</f>
        <v>#VALUE!</v>
      </c>
      <c r="DA230" s="1" t="e">
        <f t="shared" si="183"/>
        <v>#VALUE!</v>
      </c>
      <c r="DB230" s="8" t="str">
        <f t="shared" si="200"/>
        <v/>
      </c>
    </row>
    <row r="231" spans="5:106" x14ac:dyDescent="0.15">
      <c r="E231" s="1">
        <v>228</v>
      </c>
      <c r="F231" s="1">
        <f t="shared" si="184"/>
        <v>1</v>
      </c>
      <c r="G231" s="1">
        <f t="shared" si="191"/>
        <v>1</v>
      </c>
      <c r="H231" s="1">
        <f t="shared" si="185"/>
        <v>1</v>
      </c>
      <c r="I231" s="1">
        <f t="shared" si="186"/>
        <v>1</v>
      </c>
      <c r="J231" s="1">
        <f t="shared" si="192"/>
        <v>1</v>
      </c>
      <c r="L231" s="1" t="str">
        <f>IF(ISERROR(HLOOKUP($C$10,$F$3:$J$253,229,0)),"",HLOOKUP($C$10,$F$3:$J$253,229,0))</f>
        <v/>
      </c>
      <c r="N231" s="67"/>
      <c r="W231" s="71" t="e">
        <f>IF(AA231="","",AA231*10+3)</f>
        <v>#VALUE!</v>
      </c>
      <c r="X231" s="71" t="str">
        <f>IF(OR(COUNTBLANK(AA231)=1,ISERROR(AA231)),"",COUNT(AA4:AA231))</f>
        <v/>
      </c>
      <c r="Y231" s="7" t="e">
        <f t="shared" si="157"/>
        <v>#VALUE!</v>
      </c>
      <c r="Z231" s="1" t="str">
        <f t="shared" si="171"/>
        <v/>
      </c>
      <c r="AA231" s="79" t="e">
        <f>IF(IF(COUNTIF(AA4:AA230,AA230)&gt;=MAX(D4:D8),AA230+1,AA230)&gt;50,"",IF(COUNTIF(AA4:AA230,AA230)&gt;=MAX(D4:D8),AA230+1,AA230))</f>
        <v>#VALUE!</v>
      </c>
      <c r="AB231" s="1" t="e">
        <f>IF(AA231="","",VLOOKUP(AA231,S4:U53,3,0))</f>
        <v>#VALUE!</v>
      </c>
      <c r="AC231" s="8" t="str">
        <f t="shared" si="158"/>
        <v/>
      </c>
      <c r="AE231" s="71" t="e">
        <f t="shared" si="159"/>
        <v>#VALUE!</v>
      </c>
      <c r="AF231" s="71" t="str">
        <f>IF(OR(COUNTBLANK(AI231)=1,ISERROR(AI231)),"",COUNT(AI4:AI231))</f>
        <v/>
      </c>
      <c r="AG231" s="7" t="e">
        <f t="shared" si="160"/>
        <v>#VALUE!</v>
      </c>
      <c r="AH231" s="1" t="str">
        <f>IF(ISERROR(INDEX(C4:C8,MATCH(G231,D4:D8,0))),"",INDEX(C4:C8,MATCH(G231,D4:D8,0)))</f>
        <v/>
      </c>
      <c r="AI231" s="79" t="e">
        <f>IF(IF(COUNTIF(AI4:AI229,AI229)&gt;=MAX(D4:D8),AI229+2,AI229)&gt;50,"",IF(COUNTIF(AI4:AI229,AI229)&gt;=MAX(D4:D8),AI229+2,AI229))</f>
        <v>#VALUE!</v>
      </c>
      <c r="AJ231" s="1" t="e">
        <f>IF(AI231="","",VLOOKUP(AI231,S4:U53,3,0))</f>
        <v>#VALUE!</v>
      </c>
      <c r="AK231" s="8" t="str">
        <f t="shared" si="161"/>
        <v/>
      </c>
      <c r="AM231" s="71" t="e">
        <f t="shared" si="162"/>
        <v>#VALUE!</v>
      </c>
      <c r="AN231" s="71" t="str">
        <f>IF(OR(COUNTBLANK(AQ231)=1,ISERROR(AQ231)),"",COUNT(AQ4:AQ231))</f>
        <v/>
      </c>
      <c r="AO231" s="7" t="e">
        <f t="shared" si="163"/>
        <v>#VALUE!</v>
      </c>
      <c r="AP231" s="1" t="str">
        <f>IF(ISERROR(INDEX(C4:C8,MATCH(H231,D4:D8,0))),"",INDEX(C4:C8,MATCH(H231,D4:D8,0)))</f>
        <v/>
      </c>
      <c r="AQ231" s="79" t="e">
        <f>IF(IF(COUNTIF(AQ4:AQ230,AQ228)&gt;=MAX(D4:D8),AQ228+3,AQ228)&gt;50,"",IF(COUNTIF(AQ4:AQ230,AQ228)&gt;=MAX(D4:D8),AQ228+3,AQ228))</f>
        <v>#VALUE!</v>
      </c>
      <c r="AR231" s="1" t="e">
        <f>IF(AQ231="","",VLOOKUP(AQ231,S4:U53,3,0))</f>
        <v>#VALUE!</v>
      </c>
      <c r="AS231" s="8" t="str">
        <f t="shared" si="164"/>
        <v/>
      </c>
      <c r="AU231" s="71" t="e">
        <f t="shared" si="165"/>
        <v>#VALUE!</v>
      </c>
      <c r="AV231" s="71" t="str">
        <f>IF(OR(COUNTBLANK(AY231)=1,ISERROR(AY231)),"",COUNT(AY4:AY231))</f>
        <v/>
      </c>
      <c r="AW231" s="7" t="e">
        <f t="shared" si="166"/>
        <v>#VALUE!</v>
      </c>
      <c r="AX231" s="1" t="str">
        <f>IF(ISERROR(INDEX(C4:C8,MATCH(I231,D4:D8,0))),"",INDEX(C4:C8,MATCH(I231,D4:D8,0)))</f>
        <v/>
      </c>
      <c r="AY231" s="79" t="e">
        <f>IF(IF(COUNTIF(AY4:AY230,AY227)&gt;=MAX(D4:D8),AY227+4,AY227)&gt;50,"",IF(COUNTIF(AY4:AY230,AY227)&gt;=MAX(D4:D8),AY227+4,AY227))</f>
        <v>#VALUE!</v>
      </c>
      <c r="AZ231" s="76" t="e">
        <f>IF(AY231="","",VLOOKUP(AY231,S4:U53,3,0))</f>
        <v>#VALUE!</v>
      </c>
      <c r="BA231" s="8" t="str">
        <f t="shared" si="167"/>
        <v/>
      </c>
      <c r="BC231" s="71" t="e">
        <f t="shared" si="168"/>
        <v>#VALUE!</v>
      </c>
      <c r="BD231" s="71" t="str">
        <f>IF(OR(COUNTBLANK(BG231)=1,ISERROR(BG231)),"",COUNT(BG4:BG231))</f>
        <v/>
      </c>
      <c r="BE231" s="7" t="e">
        <f t="shared" si="169"/>
        <v>#VALUE!</v>
      </c>
      <c r="BF231" s="1" t="str">
        <f>IF(ISERROR(INDEX(C4:C8,MATCH(J231,D4:D8,0))),"",INDEX(C4:C8,MATCH(J231,D4:D8,0)))</f>
        <v/>
      </c>
      <c r="BG231" s="79" t="e">
        <f>IF(IF(COUNTIF(BG4:BG230,BG226)&gt;=MAX(D4:D8),BG226+5,BG226)&gt;50,"",IF(COUNTIF(BG4:BG230,BG226)&gt;=MAX(D4:D8),BG226+5,BG226))</f>
        <v>#VALUE!</v>
      </c>
      <c r="BH231" s="76" t="e">
        <f>IF(BG231="","",VLOOKUP(BG231,S4:U53,3,0))</f>
        <v>#VALUE!</v>
      </c>
      <c r="BI231" s="8" t="str">
        <f t="shared" si="170"/>
        <v/>
      </c>
      <c r="BP231" s="71" t="e">
        <f>IF(BT231="","",BT231*10+3)</f>
        <v>#VALUE!</v>
      </c>
      <c r="BQ231" s="71" t="str">
        <f>IF(OR(COUNTBLANK(BT231)=1,ISERROR(BT231)),"",COUNT(BT4:BT231))</f>
        <v/>
      </c>
      <c r="BR231" s="7" t="e">
        <f t="shared" si="172"/>
        <v>#VALUE!</v>
      </c>
      <c r="BS231" s="1" t="str">
        <f t="shared" si="173"/>
        <v/>
      </c>
      <c r="BT231" s="79" t="e">
        <f>IF(IF(COUNTIF($BT$4:BT230,BT230)&gt;=MAX($D$4:$D$8),BT230+1,BT230)&gt;55,"",IF(COUNTIF($BT$4:BT230,BT230)&gt;=MAX($D$4:$D$8),BT230+1,BT230))</f>
        <v>#VALUE!</v>
      </c>
      <c r="BU231" s="1" t="e">
        <f t="shared" si="174"/>
        <v>#VALUE!</v>
      </c>
      <c r="BV231" s="8" t="str">
        <f t="shared" si="175"/>
        <v/>
      </c>
      <c r="BX231" s="71" t="e">
        <f t="shared" si="176"/>
        <v>#VALUE!</v>
      </c>
      <c r="BY231" s="71" t="str">
        <f>IF(OR(COUNTBLANK(CB231)=1,ISERROR(CB231)),"",COUNT($CB$4:CB231))</f>
        <v/>
      </c>
      <c r="BZ231" s="7" t="e">
        <f t="shared" si="177"/>
        <v>#VALUE!</v>
      </c>
      <c r="CA231" s="1" t="str">
        <f t="shared" si="178"/>
        <v/>
      </c>
      <c r="CB231" s="79" t="e">
        <f>IF(IF(COUNTIF($CB$4:CB230,CB229)&gt;=MAX($D$4:$D$8),CB229+2,CB229)&gt;55,"",IF(COUNTIF($CB$4:CB230,CB229)&gt;=MAX($D$4:$D$8),CB229+2,CB229))</f>
        <v>#VALUE!</v>
      </c>
      <c r="CC231" s="1" t="e">
        <f t="shared" si="179"/>
        <v>#VALUE!</v>
      </c>
      <c r="CD231" s="8" t="str">
        <f t="shared" si="180"/>
        <v/>
      </c>
      <c r="CF231" s="71" t="e">
        <f t="shared" si="193"/>
        <v>#VALUE!</v>
      </c>
      <c r="CG231" s="71" t="str">
        <f>IF(OR(COUNTBLANK(CJ231)=1,ISERROR(CJ231)),"",COUNT($CJ$4:CJ231))</f>
        <v/>
      </c>
      <c r="CH231" s="7" t="e">
        <f t="shared" si="194"/>
        <v>#VALUE!</v>
      </c>
      <c r="CI231" s="1" t="str">
        <f t="shared" si="195"/>
        <v/>
      </c>
      <c r="CJ231" s="79" t="e">
        <f>IF(IF(COUNTIF($CJ$4:CJ230,CJ228)&gt;=MAX($D$4:$D$8),CJ228+3,CJ228)&gt;55,"",IF(COUNTIF($CJ$4:CJ230,CJ228)&gt;=MAX($D$4:$D$8),CJ228+3,CJ228))</f>
        <v>#VALUE!</v>
      </c>
      <c r="CK231" s="1" t="e">
        <f t="shared" si="181"/>
        <v>#VALUE!</v>
      </c>
      <c r="CL231" s="8" t="str">
        <f t="shared" si="196"/>
        <v/>
      </c>
      <c r="CN231" s="71" t="e">
        <f t="shared" si="187"/>
        <v>#VALUE!</v>
      </c>
      <c r="CO231" s="71" t="str">
        <f>IF(OR(COUNTBLANK(CR231)=1,ISERROR(CR231)),"",COUNT($CR$4:CR231))</f>
        <v/>
      </c>
      <c r="CP231" s="7" t="e">
        <f t="shared" si="188"/>
        <v>#VALUE!</v>
      </c>
      <c r="CQ231" s="1" t="str">
        <f t="shared" si="189"/>
        <v/>
      </c>
      <c r="CR231" s="79" t="e">
        <f>IF(IF(COUNTIF($CR$4:CR230,CR227)&gt;=MAX($D$4:$D$8),CR227+4,CR227)&gt;55,"",IF(COUNTIF($CR$4:CR230,CR227)&gt;=MAX($D$4:$D$8),CR227+4,CR227))</f>
        <v>#VALUE!</v>
      </c>
      <c r="CS231" s="1" t="e">
        <f t="shared" si="182"/>
        <v>#VALUE!</v>
      </c>
      <c r="CT231" s="8" t="str">
        <f t="shared" si="190"/>
        <v/>
      </c>
      <c r="CV231" s="71" t="e">
        <f t="shared" si="197"/>
        <v>#VALUE!</v>
      </c>
      <c r="CW231" s="71" t="str">
        <f>IF(OR(COUNTBLANK(CZ231)=1,ISERROR(CZ231)),"",COUNT($CZ$4:CZ231))</f>
        <v/>
      </c>
      <c r="CX231" s="7" t="e">
        <f t="shared" si="198"/>
        <v>#VALUE!</v>
      </c>
      <c r="CY231" s="1" t="str">
        <f t="shared" si="199"/>
        <v/>
      </c>
      <c r="CZ231" s="79" t="e">
        <f>IF(IF(COUNTIF($CZ$4:CZ230,CZ226)&gt;=MAX($D$4:$D$8),CZ226+5,CZ226)&gt;55,"",IF(COUNTIF($CZ$4:CZ230,CZ226)&gt;=MAX($D$4:$D$8),CZ226+5,CZ226))</f>
        <v>#VALUE!</v>
      </c>
      <c r="DA231" s="1" t="e">
        <f t="shared" si="183"/>
        <v>#VALUE!</v>
      </c>
      <c r="DB231" s="8" t="str">
        <f t="shared" si="200"/>
        <v/>
      </c>
    </row>
    <row r="232" spans="5:106" x14ac:dyDescent="0.15">
      <c r="E232" s="1">
        <v>229</v>
      </c>
      <c r="F232" s="1">
        <f t="shared" si="184"/>
        <v>1</v>
      </c>
      <c r="G232" s="1">
        <f t="shared" si="191"/>
        <v>1</v>
      </c>
      <c r="H232" s="1">
        <f t="shared" si="185"/>
        <v>1</v>
      </c>
      <c r="I232" s="1">
        <f t="shared" si="186"/>
        <v>1</v>
      </c>
      <c r="J232" s="1">
        <f t="shared" si="192"/>
        <v>1</v>
      </c>
      <c r="L232" s="1" t="str">
        <f>IF(ISERROR(HLOOKUP($C$10,$F$3:$J$253,230,0)),"",HLOOKUP($C$10,$F$3:$J$253,230,0))</f>
        <v/>
      </c>
      <c r="N232" s="67"/>
      <c r="W232" s="71" t="e">
        <f>IF(AA232="","",AA232*10+4)</f>
        <v>#VALUE!</v>
      </c>
      <c r="X232" s="71" t="str">
        <f>IF(OR(COUNTBLANK(AA232)=1,ISERROR(AA232)),"",COUNT(AA4:AA232))</f>
        <v/>
      </c>
      <c r="Y232" s="7" t="e">
        <f t="shared" si="157"/>
        <v>#VALUE!</v>
      </c>
      <c r="Z232" s="1" t="str">
        <f t="shared" si="171"/>
        <v/>
      </c>
      <c r="AA232" s="79" t="e">
        <f>IF(IF(COUNTIF(AA4:AA231,AA231)&gt;=MAX(D4:D8),AA231+1,AA231)&gt;50,"",IF(COUNTIF(AA4:AA231,AA231)&gt;=MAX(D4:D8),AA231+1,AA231))</f>
        <v>#VALUE!</v>
      </c>
      <c r="AB232" s="1" t="e">
        <f>IF(AA232="","",VLOOKUP(AA232,S4:U53,3,0))</f>
        <v>#VALUE!</v>
      </c>
      <c r="AC232" s="8" t="str">
        <f t="shared" si="158"/>
        <v/>
      </c>
      <c r="AE232" s="71" t="e">
        <f t="shared" si="159"/>
        <v>#VALUE!</v>
      </c>
      <c r="AF232" s="71" t="str">
        <f>IF(OR(COUNTBLANK(AI232)=1,ISERROR(AI232)),"",COUNT(AI4:AI232))</f>
        <v/>
      </c>
      <c r="AG232" s="7" t="e">
        <f t="shared" si="160"/>
        <v>#VALUE!</v>
      </c>
      <c r="AH232" s="1" t="str">
        <f>IF(ISERROR(INDEX(C4:C8,MATCH(G232,D4:D8,0))),"",INDEX(C4:C8,MATCH(G232,D4:D8,0)))</f>
        <v/>
      </c>
      <c r="AI232" s="79" t="e">
        <f>IF(IF(COUNTIF(AI4:AI231,AI230)&gt;=MAX(D4:D8),AI230+2,AI230)&gt;50,"",IF(COUNTIF(AI4:AI231,AI230)&gt;=MAX(D4:D8),AI230+2,AI230))</f>
        <v>#VALUE!</v>
      </c>
      <c r="AJ232" s="1" t="e">
        <f>IF(AI232="","",VLOOKUP(AI232,S4:U53,3,0))</f>
        <v>#VALUE!</v>
      </c>
      <c r="AK232" s="8" t="str">
        <f t="shared" si="161"/>
        <v/>
      </c>
      <c r="AM232" s="71" t="e">
        <f t="shared" si="162"/>
        <v>#VALUE!</v>
      </c>
      <c r="AN232" s="71" t="str">
        <f>IF(OR(COUNTBLANK(AQ232)=1,ISERROR(AQ232)),"",COUNT(AQ4:AQ232))</f>
        <v/>
      </c>
      <c r="AO232" s="7" t="e">
        <f t="shared" si="163"/>
        <v>#VALUE!</v>
      </c>
      <c r="AP232" s="1" t="str">
        <f>IF(ISERROR(INDEX(C4:C8,MATCH(H232,D4:D8,0))),"",INDEX(C4:C8,MATCH(H232,D4:D8,0)))</f>
        <v/>
      </c>
      <c r="AQ232" s="79" t="e">
        <f>IF(IF(COUNTIF(AQ4:AQ231,AQ229)&gt;=MAX(D4:D8),AQ229+3,AQ229)&gt;50,"",IF(COUNTIF(AQ4:AQ231,AQ229)&gt;=MAX(D4:D8),AQ229+3,AQ229))</f>
        <v>#VALUE!</v>
      </c>
      <c r="AR232" s="1" t="e">
        <f>IF(AQ232="","",VLOOKUP(AQ232,S4:U53,3,0))</f>
        <v>#VALUE!</v>
      </c>
      <c r="AS232" s="8" t="str">
        <f t="shared" si="164"/>
        <v/>
      </c>
      <c r="AU232" s="71" t="e">
        <f t="shared" si="165"/>
        <v>#VALUE!</v>
      </c>
      <c r="AV232" s="71" t="str">
        <f>IF(OR(COUNTBLANK(AY232)=1,ISERROR(AY232)),"",COUNT(AY4:AY232))</f>
        <v/>
      </c>
      <c r="AW232" s="7" t="e">
        <f t="shared" si="166"/>
        <v>#VALUE!</v>
      </c>
      <c r="AX232" s="1" t="str">
        <f>IF(ISERROR(INDEX(C4:C8,MATCH(I232,D4:D8,0))),"",INDEX(C4:C8,MATCH(I232,D4:D8,0)))</f>
        <v/>
      </c>
      <c r="AY232" s="79" t="e">
        <f>IF(IF(COUNTIF(AY4:AY231,AY228)&gt;=MAX(D4:D8),AY228+4,AY228)&gt;50,"",IF(COUNTIF(AY4:AY231,AY228)&gt;=MAX(D4:D8),AY228+4,AY228))</f>
        <v>#VALUE!</v>
      </c>
      <c r="AZ232" s="76" t="e">
        <f>IF(AY232="","",VLOOKUP(AY232,S4:U53,3,0))</f>
        <v>#VALUE!</v>
      </c>
      <c r="BA232" s="8" t="str">
        <f t="shared" si="167"/>
        <v/>
      </c>
      <c r="BC232" s="71" t="e">
        <f t="shared" si="168"/>
        <v>#VALUE!</v>
      </c>
      <c r="BD232" s="71" t="str">
        <f>IF(OR(COUNTBLANK(BG232)=1,ISERROR(BG232)),"",COUNT(BG4:BG232))</f>
        <v/>
      </c>
      <c r="BE232" s="7" t="e">
        <f t="shared" si="169"/>
        <v>#VALUE!</v>
      </c>
      <c r="BF232" s="1" t="str">
        <f>IF(ISERROR(INDEX(C4:C8,MATCH(J232,D4:D8,0))),"",INDEX(C4:C8,MATCH(J232,D4:D8,0)))</f>
        <v/>
      </c>
      <c r="BG232" s="79" t="e">
        <f>IF(IF(COUNTIF(BG4:BG231,BG227)&gt;=MAX(D4:D8),BG227+5,BG227)&gt;50,"",IF(COUNTIF(BG4:BG231,BG227)&gt;=MAX(D4:D8),BG227+5,BG227))</f>
        <v>#VALUE!</v>
      </c>
      <c r="BH232" s="76" t="e">
        <f>IF(BG232="","",VLOOKUP(BG232,S4:U53,3,0))</f>
        <v>#VALUE!</v>
      </c>
      <c r="BI232" s="8" t="str">
        <f t="shared" si="170"/>
        <v/>
      </c>
      <c r="BP232" s="71" t="e">
        <f>IF(BT232="","",BT232*10+4)</f>
        <v>#VALUE!</v>
      </c>
      <c r="BQ232" s="71" t="str">
        <f>IF(OR(COUNTBLANK(BT232)=1,ISERROR(BT232)),"",COUNT(BT4:BT232))</f>
        <v/>
      </c>
      <c r="BR232" s="7" t="e">
        <f t="shared" si="172"/>
        <v>#VALUE!</v>
      </c>
      <c r="BS232" s="1" t="str">
        <f t="shared" si="173"/>
        <v/>
      </c>
      <c r="BT232" s="79" t="e">
        <f>IF(IF(COUNTIF($BT$4:BT231,BT231)&gt;=MAX($D$4:$D$8),BT231+1,BT231)&gt;55,"",IF(COUNTIF($BT$4:BT231,BT231)&gt;=MAX($D$4:$D$8),BT231+1,BT231))</f>
        <v>#VALUE!</v>
      </c>
      <c r="BU232" s="1" t="e">
        <f t="shared" si="174"/>
        <v>#VALUE!</v>
      </c>
      <c r="BV232" s="8" t="str">
        <f t="shared" si="175"/>
        <v/>
      </c>
      <c r="BX232" s="71" t="e">
        <f t="shared" si="176"/>
        <v>#VALUE!</v>
      </c>
      <c r="BY232" s="71" t="str">
        <f>IF(OR(COUNTBLANK(CB232)=1,ISERROR(CB232)),"",COUNT($CB$4:CB232))</f>
        <v/>
      </c>
      <c r="BZ232" s="7" t="e">
        <f t="shared" si="177"/>
        <v>#VALUE!</v>
      </c>
      <c r="CA232" s="1" t="str">
        <f t="shared" si="178"/>
        <v/>
      </c>
      <c r="CB232" s="79" t="e">
        <f>IF(IF(COUNTIF($CB$4:CB231,CB230)&gt;=MAX($D$4:$D$8),CB230+2,CB230)&gt;55,"",IF(COUNTIF($CB$4:CB231,CB230)&gt;=MAX($D$4:$D$8),CB230+2,CB230))</f>
        <v>#VALUE!</v>
      </c>
      <c r="CC232" s="1" t="e">
        <f t="shared" si="179"/>
        <v>#VALUE!</v>
      </c>
      <c r="CD232" s="8" t="str">
        <f t="shared" si="180"/>
        <v/>
      </c>
      <c r="CF232" s="71" t="e">
        <f t="shared" si="193"/>
        <v>#VALUE!</v>
      </c>
      <c r="CG232" s="71" t="str">
        <f>IF(OR(COUNTBLANK(CJ232)=1,ISERROR(CJ232)),"",COUNT($CJ$4:CJ232))</f>
        <v/>
      </c>
      <c r="CH232" s="7" t="e">
        <f t="shared" si="194"/>
        <v>#VALUE!</v>
      </c>
      <c r="CI232" s="1" t="str">
        <f t="shared" si="195"/>
        <v/>
      </c>
      <c r="CJ232" s="79" t="e">
        <f>IF(IF(COUNTIF($CJ$4:CJ231,CJ229)&gt;=MAX($D$4:$D$8),CJ229+3,CJ229)&gt;55,"",IF(COUNTIF($CJ$4:CJ231,CJ229)&gt;=MAX($D$4:$D$8),CJ229+3,CJ229))</f>
        <v>#VALUE!</v>
      </c>
      <c r="CK232" s="1" t="e">
        <f t="shared" si="181"/>
        <v>#VALUE!</v>
      </c>
      <c r="CL232" s="8" t="str">
        <f t="shared" si="196"/>
        <v/>
      </c>
      <c r="CN232" s="71" t="e">
        <f t="shared" si="187"/>
        <v>#VALUE!</v>
      </c>
      <c r="CO232" s="71" t="str">
        <f>IF(OR(COUNTBLANK(CR232)=1,ISERROR(CR232)),"",COUNT($CR$4:CR232))</f>
        <v/>
      </c>
      <c r="CP232" s="7" t="e">
        <f t="shared" si="188"/>
        <v>#VALUE!</v>
      </c>
      <c r="CQ232" s="1" t="str">
        <f t="shared" si="189"/>
        <v/>
      </c>
      <c r="CR232" s="79" t="e">
        <f>IF(IF(COUNTIF($CR$4:CR231,CR228)&gt;=MAX($D$4:$D$8),CR228+4,CR228)&gt;55,"",IF(COUNTIF($CR$4:CR231,CR228)&gt;=MAX($D$4:$D$8),CR228+4,CR228))</f>
        <v>#VALUE!</v>
      </c>
      <c r="CS232" s="1" t="e">
        <f t="shared" si="182"/>
        <v>#VALUE!</v>
      </c>
      <c r="CT232" s="8" t="str">
        <f t="shared" si="190"/>
        <v/>
      </c>
      <c r="CV232" s="71" t="e">
        <f t="shared" si="197"/>
        <v>#VALUE!</v>
      </c>
      <c r="CW232" s="71" t="str">
        <f>IF(OR(COUNTBLANK(CZ232)=1,ISERROR(CZ232)),"",COUNT($CZ$4:CZ232))</f>
        <v/>
      </c>
      <c r="CX232" s="7" t="e">
        <f t="shared" si="198"/>
        <v>#VALUE!</v>
      </c>
      <c r="CY232" s="1" t="str">
        <f t="shared" si="199"/>
        <v/>
      </c>
      <c r="CZ232" s="79" t="e">
        <f>IF(IF(COUNTIF($CZ$4:CZ231,CZ227)&gt;=MAX($D$4:$D$8),CZ227+5,CZ227)&gt;55,"",IF(COUNTIF($CZ$4:CZ231,CZ227)&gt;=MAX($D$4:$D$8),CZ227+5,CZ227))</f>
        <v>#VALUE!</v>
      </c>
      <c r="DA232" s="1" t="e">
        <f t="shared" si="183"/>
        <v>#VALUE!</v>
      </c>
      <c r="DB232" s="8" t="str">
        <f t="shared" si="200"/>
        <v/>
      </c>
    </row>
    <row r="233" spans="5:106" x14ac:dyDescent="0.15">
      <c r="E233" s="1">
        <v>230</v>
      </c>
      <c r="F233" s="1">
        <f t="shared" si="184"/>
        <v>1</v>
      </c>
      <c r="G233" s="1">
        <f t="shared" si="191"/>
        <v>1</v>
      </c>
      <c r="H233" s="1">
        <f t="shared" si="185"/>
        <v>1</v>
      </c>
      <c r="I233" s="1">
        <f t="shared" si="186"/>
        <v>1</v>
      </c>
      <c r="J233" s="1">
        <f t="shared" si="192"/>
        <v>1</v>
      </c>
      <c r="L233" s="1" t="str">
        <f>IF(ISERROR(HLOOKUP($C$10,$F$3:$J$253,231,0)),"",HLOOKUP($C$10,$F$3:$J$253,231,0))</f>
        <v/>
      </c>
      <c r="N233" s="67"/>
      <c r="W233" s="71" t="e">
        <f>IF(AA233="","",AA233*10+5)</f>
        <v>#VALUE!</v>
      </c>
      <c r="X233" s="71" t="str">
        <f>IF(OR(COUNTBLANK(AA233)=1,ISERROR(AA233)),"",COUNT(AA4:AA233))</f>
        <v/>
      </c>
      <c r="Y233" s="7" t="e">
        <f t="shared" si="157"/>
        <v>#VALUE!</v>
      </c>
      <c r="Z233" s="1" t="str">
        <f t="shared" si="171"/>
        <v/>
      </c>
      <c r="AA233" s="79" t="e">
        <f>IF(IF(COUNTIF(AA4:AA232,AA232)&gt;=MAX(D4:D8),AA232+1,AA232)&gt;50,"",IF(COUNTIF(AA4:AA232,AA232)&gt;=MAX(D4:D8),AA232+1,AA232))</f>
        <v>#VALUE!</v>
      </c>
      <c r="AB233" s="1" t="e">
        <f>IF(AA233="","",VLOOKUP(AA233,S4:U53,3,0))</f>
        <v>#VALUE!</v>
      </c>
      <c r="AC233" s="8" t="str">
        <f t="shared" si="158"/>
        <v/>
      </c>
      <c r="AE233" s="71" t="e">
        <f t="shared" si="159"/>
        <v>#VALUE!</v>
      </c>
      <c r="AF233" s="71" t="str">
        <f>IF(OR(COUNTBLANK(AI233)=1,ISERROR(AI233)),"",COUNT(AI4:AI233))</f>
        <v/>
      </c>
      <c r="AG233" s="7" t="e">
        <f t="shared" si="160"/>
        <v>#VALUE!</v>
      </c>
      <c r="AH233" s="1" t="str">
        <f>IF(ISERROR(INDEX(C4:C8,MATCH(G233,D4:D8,0))),"",INDEX(C4:C8,MATCH(G233,D4:D8,0)))</f>
        <v/>
      </c>
      <c r="AI233" s="79" t="e">
        <f>IF(IF(COUNTIF(AI4:AI231,AI231)&gt;=MAX(D4:D8),AI231+2,AI231)&gt;50,"",IF(COUNTIF(AI4:AI231,AI231)&gt;=MAX(D4:D8),AI231+2,AI231))</f>
        <v>#VALUE!</v>
      </c>
      <c r="AJ233" s="1" t="e">
        <f>IF(AI233="","",VLOOKUP(AI233,S4:U53,3,0))</f>
        <v>#VALUE!</v>
      </c>
      <c r="AK233" s="8" t="str">
        <f t="shared" si="161"/>
        <v/>
      </c>
      <c r="AM233" s="71" t="e">
        <f t="shared" si="162"/>
        <v>#VALUE!</v>
      </c>
      <c r="AN233" s="71" t="str">
        <f>IF(OR(COUNTBLANK(AQ233)=1,ISERROR(AQ233)),"",COUNT(AQ4:AQ233))</f>
        <v/>
      </c>
      <c r="AO233" s="7" t="e">
        <f t="shared" si="163"/>
        <v>#VALUE!</v>
      </c>
      <c r="AP233" s="1" t="str">
        <f>IF(ISERROR(INDEX(C4:C8,MATCH(H233,D4:D8,0))),"",INDEX(C4:C8,MATCH(H233,D4:D8,0)))</f>
        <v/>
      </c>
      <c r="AQ233" s="79" t="e">
        <f>IF(IF(COUNTIF(AQ4:AQ232,AQ230)&gt;=MAX(D4:D8),AQ230+3,AQ230)&gt;50,"",IF(COUNTIF(AQ4:AQ232,AQ230)&gt;=MAX(D4:D8),AQ230+3,AQ230))</f>
        <v>#VALUE!</v>
      </c>
      <c r="AR233" s="1" t="e">
        <f>IF(AQ233="","",VLOOKUP(AQ233,S4:U53,3,0))</f>
        <v>#VALUE!</v>
      </c>
      <c r="AS233" s="8" t="str">
        <f t="shared" si="164"/>
        <v/>
      </c>
      <c r="AU233" s="71" t="e">
        <f t="shared" si="165"/>
        <v>#VALUE!</v>
      </c>
      <c r="AV233" s="71" t="str">
        <f>IF(OR(COUNTBLANK(AY233)=1,ISERROR(AY233)),"",COUNT(AY4:AY233))</f>
        <v/>
      </c>
      <c r="AW233" s="7" t="e">
        <f t="shared" si="166"/>
        <v>#VALUE!</v>
      </c>
      <c r="AX233" s="1" t="str">
        <f>IF(ISERROR(INDEX(C4:C8,MATCH(I233,D4:D8,0))),"",INDEX(C4:C8,MATCH(I233,D4:D8,0)))</f>
        <v/>
      </c>
      <c r="AY233" s="79" t="e">
        <f>IF(IF(COUNTIF(AY4:AY232,AY229)&gt;=MAX(D4:D8),AY229+4,AY229)&gt;50,"",IF(COUNTIF(AY4:AY232,AY229)&gt;=MAX(D4:D8),AY229+4,AY229))</f>
        <v>#VALUE!</v>
      </c>
      <c r="AZ233" s="76" t="e">
        <f>IF(AY233="","",VLOOKUP(AY233,S4:U53,3,0))</f>
        <v>#VALUE!</v>
      </c>
      <c r="BA233" s="8" t="str">
        <f t="shared" si="167"/>
        <v/>
      </c>
      <c r="BC233" s="71" t="e">
        <f t="shared" si="168"/>
        <v>#VALUE!</v>
      </c>
      <c r="BD233" s="71" t="str">
        <f>IF(OR(COUNTBLANK(BG233)=1,ISERROR(BG233)),"",COUNT(BG4:BG233))</f>
        <v/>
      </c>
      <c r="BE233" s="7" t="e">
        <f t="shared" si="169"/>
        <v>#VALUE!</v>
      </c>
      <c r="BF233" s="1" t="str">
        <f>IF(ISERROR(INDEX(C4:C8,MATCH(J233,D4:D8,0))),"",INDEX(C4:C8,MATCH(J233,D4:D8,0)))</f>
        <v/>
      </c>
      <c r="BG233" s="79" t="e">
        <f>IF(IF(COUNTIF(BG4:BG232,BG228)&gt;=MAX(D4:D8),BG228+5,BG228)&gt;50,"",IF(COUNTIF(BG4:BG232,BG228)&gt;=MAX(D4:D8),BG228+5,BG228))</f>
        <v>#VALUE!</v>
      </c>
      <c r="BH233" s="76" t="e">
        <f>IF(BG233="","",VLOOKUP(BG233,S4:U53,3,0))</f>
        <v>#VALUE!</v>
      </c>
      <c r="BI233" s="8" t="str">
        <f t="shared" si="170"/>
        <v/>
      </c>
      <c r="BP233" s="71" t="e">
        <f>IF(BT233="","",BT233*10+5)</f>
        <v>#VALUE!</v>
      </c>
      <c r="BQ233" s="71" t="str">
        <f>IF(OR(COUNTBLANK(BT233)=1,ISERROR(BT233)),"",COUNT(BT4:BT233))</f>
        <v/>
      </c>
      <c r="BR233" s="7" t="e">
        <f t="shared" si="172"/>
        <v>#VALUE!</v>
      </c>
      <c r="BS233" s="1" t="str">
        <f t="shared" si="173"/>
        <v/>
      </c>
      <c r="BT233" s="79" t="e">
        <f>IF(IF(COUNTIF($BT$4:BT232,BT232)&gt;=MAX($D$4:$D$8),BT232+1,BT232)&gt;55,"",IF(COUNTIF($BT$4:BT232,BT232)&gt;=MAX($D$4:$D$8),BT232+1,BT232))</f>
        <v>#VALUE!</v>
      </c>
      <c r="BU233" s="1" t="e">
        <f t="shared" si="174"/>
        <v>#VALUE!</v>
      </c>
      <c r="BV233" s="8" t="str">
        <f t="shared" si="175"/>
        <v/>
      </c>
      <c r="BX233" s="71" t="e">
        <f t="shared" si="176"/>
        <v>#VALUE!</v>
      </c>
      <c r="BY233" s="71" t="str">
        <f>IF(OR(COUNTBLANK(CB233)=1,ISERROR(CB233)),"",COUNT($CB$4:CB233))</f>
        <v/>
      </c>
      <c r="BZ233" s="7" t="e">
        <f t="shared" si="177"/>
        <v>#VALUE!</v>
      </c>
      <c r="CA233" s="1" t="str">
        <f t="shared" si="178"/>
        <v/>
      </c>
      <c r="CB233" s="79" t="e">
        <f>IF(IF(COUNTIF($CB$4:CB232,CB231)&gt;=MAX($D$4:$D$8),CB231+2,CB231)&gt;55,"",IF(COUNTIF($CB$4:CB232,CB231)&gt;=MAX($D$4:$D$8),CB231+2,CB231))</f>
        <v>#VALUE!</v>
      </c>
      <c r="CC233" s="1" t="e">
        <f t="shared" si="179"/>
        <v>#VALUE!</v>
      </c>
      <c r="CD233" s="8" t="str">
        <f t="shared" si="180"/>
        <v/>
      </c>
      <c r="CF233" s="71" t="e">
        <f t="shared" si="193"/>
        <v>#VALUE!</v>
      </c>
      <c r="CG233" s="71" t="str">
        <f>IF(OR(COUNTBLANK(CJ233)=1,ISERROR(CJ233)),"",COUNT($CJ$4:CJ233))</f>
        <v/>
      </c>
      <c r="CH233" s="7" t="e">
        <f t="shared" si="194"/>
        <v>#VALUE!</v>
      </c>
      <c r="CI233" s="1" t="str">
        <f t="shared" si="195"/>
        <v/>
      </c>
      <c r="CJ233" s="79" t="e">
        <f>IF(IF(COUNTIF($CJ$4:CJ232,CJ230)&gt;=MAX($D$4:$D$8),CJ230+3,CJ230)&gt;55,"",IF(COUNTIF($CJ$4:CJ232,CJ230)&gt;=MAX($D$4:$D$8),CJ230+3,CJ230))</f>
        <v>#VALUE!</v>
      </c>
      <c r="CK233" s="1" t="e">
        <f t="shared" si="181"/>
        <v>#VALUE!</v>
      </c>
      <c r="CL233" s="8" t="str">
        <f t="shared" si="196"/>
        <v/>
      </c>
      <c r="CN233" s="71" t="e">
        <f t="shared" si="187"/>
        <v>#VALUE!</v>
      </c>
      <c r="CO233" s="71" t="str">
        <f>IF(OR(COUNTBLANK(CR233)=1,ISERROR(CR233)),"",COUNT($CR$4:CR233))</f>
        <v/>
      </c>
      <c r="CP233" s="7" t="e">
        <f t="shared" si="188"/>
        <v>#VALUE!</v>
      </c>
      <c r="CQ233" s="1" t="str">
        <f t="shared" si="189"/>
        <v/>
      </c>
      <c r="CR233" s="79" t="e">
        <f>IF(IF(COUNTIF($CR$4:CR232,CR229)&gt;=MAX($D$4:$D$8),CR229+4,CR229)&gt;55,"",IF(COUNTIF($CR$4:CR232,CR229)&gt;=MAX($D$4:$D$8),CR229+4,CR229))</f>
        <v>#VALUE!</v>
      </c>
      <c r="CS233" s="1" t="e">
        <f t="shared" si="182"/>
        <v>#VALUE!</v>
      </c>
      <c r="CT233" s="8" t="str">
        <f t="shared" si="190"/>
        <v/>
      </c>
      <c r="CV233" s="71" t="e">
        <f t="shared" si="197"/>
        <v>#VALUE!</v>
      </c>
      <c r="CW233" s="71" t="str">
        <f>IF(OR(COUNTBLANK(CZ233)=1,ISERROR(CZ233)),"",COUNT($CZ$4:CZ233))</f>
        <v/>
      </c>
      <c r="CX233" s="7" t="e">
        <f t="shared" si="198"/>
        <v>#VALUE!</v>
      </c>
      <c r="CY233" s="1" t="str">
        <f t="shared" si="199"/>
        <v/>
      </c>
      <c r="CZ233" s="79" t="e">
        <f>IF(IF(COUNTIF($CZ$4:CZ232,CZ228)&gt;=MAX($D$4:$D$8),CZ228+5,CZ228)&gt;55,"",IF(COUNTIF($CZ$4:CZ232,CZ228)&gt;=MAX($D$4:$D$8),CZ228+5,CZ228))</f>
        <v>#VALUE!</v>
      </c>
      <c r="DA233" s="1" t="e">
        <f t="shared" si="183"/>
        <v>#VALUE!</v>
      </c>
      <c r="DB233" s="8" t="str">
        <f t="shared" si="200"/>
        <v/>
      </c>
    </row>
    <row r="234" spans="5:106" x14ac:dyDescent="0.15">
      <c r="E234" s="1">
        <v>231</v>
      </c>
      <c r="F234" s="1">
        <f t="shared" si="184"/>
        <v>1</v>
      </c>
      <c r="G234" s="1">
        <f t="shared" si="191"/>
        <v>1</v>
      </c>
      <c r="H234" s="1">
        <f t="shared" si="185"/>
        <v>1</v>
      </c>
      <c r="I234" s="1">
        <f t="shared" si="186"/>
        <v>1</v>
      </c>
      <c r="J234" s="1">
        <f t="shared" si="192"/>
        <v>1</v>
      </c>
      <c r="L234" s="1" t="str">
        <f>IF(ISERROR(HLOOKUP($C$10,$F$3:$J$253,232,0)),"",HLOOKUP($C$10,$F$3:$J$253,232,0))</f>
        <v/>
      </c>
      <c r="N234" s="67"/>
      <c r="W234" s="71" t="e">
        <f>IF(AA234="","",AA234*10+1)</f>
        <v>#VALUE!</v>
      </c>
      <c r="X234" s="71" t="str">
        <f>IF(OR(COUNTBLANK(AA234)=1,ISERROR(AA234)),"",COUNT(AA4:AA234))</f>
        <v/>
      </c>
      <c r="Y234" s="7" t="e">
        <f t="shared" si="157"/>
        <v>#VALUE!</v>
      </c>
      <c r="Z234" s="1" t="str">
        <f t="shared" si="171"/>
        <v/>
      </c>
      <c r="AA234" s="79" t="e">
        <f>IF(IF(COUNTIF(AA4:AA233,AA233)&gt;=MAX(D4:D8),AA233+1,AA233)&gt;50,"",IF(COUNTIF(AA4:AA233,AA233)&gt;=MAX(D4:D8),AA233+1,AA233))</f>
        <v>#VALUE!</v>
      </c>
      <c r="AB234" s="1" t="e">
        <f>IF(AA234="","",VLOOKUP(AA234,S4:U53,3,0))</f>
        <v>#VALUE!</v>
      </c>
      <c r="AC234" s="8" t="str">
        <f t="shared" si="158"/>
        <v/>
      </c>
      <c r="AE234" s="71" t="e">
        <f t="shared" si="159"/>
        <v>#VALUE!</v>
      </c>
      <c r="AF234" s="71" t="str">
        <f>IF(OR(COUNTBLANK(AI234)=1,ISERROR(AI234)),"",COUNT(AI4:AI234))</f>
        <v/>
      </c>
      <c r="AG234" s="7" t="e">
        <f t="shared" si="160"/>
        <v>#VALUE!</v>
      </c>
      <c r="AH234" s="1" t="str">
        <f>IF(ISERROR(INDEX(C4:C8,MATCH(G234,D4:D8,0))),"",INDEX(C4:C8,MATCH(G234,D4:D8,0)))</f>
        <v/>
      </c>
      <c r="AI234" s="79" t="e">
        <f>IF(IF(COUNTIF(AI4:AI233,AI232)&gt;=MAX(D4:D8),AI232+2,AI232)&gt;50,"",IF(COUNTIF(AI4:AI233,AI232)&gt;=MAX(D4:D8),AI232+2,AI232))</f>
        <v>#VALUE!</v>
      </c>
      <c r="AJ234" s="1" t="e">
        <f>IF(AI234="","",VLOOKUP(AI234,S4:U53,3,0))</f>
        <v>#VALUE!</v>
      </c>
      <c r="AK234" s="8" t="str">
        <f t="shared" si="161"/>
        <v/>
      </c>
      <c r="AM234" s="71" t="e">
        <f t="shared" si="162"/>
        <v>#VALUE!</v>
      </c>
      <c r="AN234" s="71" t="str">
        <f>IF(OR(COUNTBLANK(AQ234)=1,ISERROR(AQ234)),"",COUNT(AQ4:AQ234))</f>
        <v/>
      </c>
      <c r="AO234" s="7" t="e">
        <f t="shared" si="163"/>
        <v>#VALUE!</v>
      </c>
      <c r="AP234" s="1" t="str">
        <f>IF(ISERROR(INDEX(C4:C8,MATCH(H234,D4:D8,0))),"",INDEX(C4:C8,MATCH(H234,D4:D8,0)))</f>
        <v/>
      </c>
      <c r="AQ234" s="79" t="e">
        <f>IF(IF(COUNTIF(AQ4:AQ233,AQ231)&gt;=MAX(D4:D8),AQ231+3,AQ231)&gt;50,"",IF(COUNTIF(AQ4:AQ233,AQ231)&gt;=MAX(D4:D8),AQ231+3,AQ231))</f>
        <v>#VALUE!</v>
      </c>
      <c r="AR234" s="1" t="e">
        <f>IF(AQ234="","",VLOOKUP(AQ234,S4:U53,3,0))</f>
        <v>#VALUE!</v>
      </c>
      <c r="AS234" s="8" t="str">
        <f t="shared" si="164"/>
        <v/>
      </c>
      <c r="AU234" s="71" t="e">
        <f t="shared" si="165"/>
        <v>#VALUE!</v>
      </c>
      <c r="AV234" s="71" t="str">
        <f>IF(OR(COUNTBLANK(AY234)=1,ISERROR(AY234)),"",COUNT(AY4:AY234))</f>
        <v/>
      </c>
      <c r="AW234" s="7" t="e">
        <f t="shared" si="166"/>
        <v>#VALUE!</v>
      </c>
      <c r="AX234" s="1" t="str">
        <f>IF(ISERROR(INDEX(C4:C8,MATCH(I234,D4:D8,0))),"",INDEX(C4:C8,MATCH(I234,D4:D8,0)))</f>
        <v/>
      </c>
      <c r="AY234" s="79" t="e">
        <f>IF(IF(COUNTIF(AY4:AY233,AY230)&gt;=MAX(D4:D8),AY230+4,AY230)&gt;50,"",IF(COUNTIF(AY4:AY233,AY230)&gt;=MAX(D4:D8),AY230+4,AY230))</f>
        <v>#VALUE!</v>
      </c>
      <c r="AZ234" s="76" t="e">
        <f>IF(AY234="","",VLOOKUP(AY234,S4:U53,3,0))</f>
        <v>#VALUE!</v>
      </c>
      <c r="BA234" s="8" t="str">
        <f t="shared" si="167"/>
        <v/>
      </c>
      <c r="BC234" s="71" t="e">
        <f t="shared" si="168"/>
        <v>#VALUE!</v>
      </c>
      <c r="BD234" s="71" t="str">
        <f>IF(OR(COUNTBLANK(BG234)=1,ISERROR(BG234)),"",COUNT(BG4:BG234))</f>
        <v/>
      </c>
      <c r="BE234" s="7" t="e">
        <f t="shared" si="169"/>
        <v>#VALUE!</v>
      </c>
      <c r="BF234" s="1" t="str">
        <f>IF(ISERROR(INDEX(C4:C8,MATCH(J234,D4:D8,0))),"",INDEX(C4:C8,MATCH(J234,D4:D8,0)))</f>
        <v/>
      </c>
      <c r="BG234" s="79" t="e">
        <f>IF(IF(COUNTIF(BG4:BG233,BG229)&gt;=MAX(D4:D8),BG229+5,BG229)&gt;50,"",IF(COUNTIF(BG4:BG233,BG229)&gt;=MAX(D4:D8),BG229+5,BG229))</f>
        <v>#VALUE!</v>
      </c>
      <c r="BH234" s="76" t="e">
        <f>IF(BG234="","",VLOOKUP(BG234,S4:U53,3,0))</f>
        <v>#VALUE!</v>
      </c>
      <c r="BI234" s="8" t="str">
        <f t="shared" si="170"/>
        <v/>
      </c>
      <c r="BP234" s="71" t="e">
        <f>IF(BT234="","",BT234*10+1)</f>
        <v>#VALUE!</v>
      </c>
      <c r="BQ234" s="71" t="str">
        <f>IF(OR(COUNTBLANK(BT234)=1,ISERROR(BT234)),"",COUNT(BT4:BT234))</f>
        <v/>
      </c>
      <c r="BR234" s="7" t="e">
        <f t="shared" si="172"/>
        <v>#VALUE!</v>
      </c>
      <c r="BS234" s="1" t="str">
        <f t="shared" si="173"/>
        <v/>
      </c>
      <c r="BT234" s="79" t="e">
        <f>IF(IF(COUNTIF($BT$4:BT233,BT233)&gt;=MAX($D$4:$D$8),BT233+1,BT233)&gt;55,"",IF(COUNTIF($BT$4:BT233,BT233)&gt;=MAX($D$4:$D$8),BT233+1,BT233))</f>
        <v>#VALUE!</v>
      </c>
      <c r="BU234" s="1" t="e">
        <f t="shared" si="174"/>
        <v>#VALUE!</v>
      </c>
      <c r="BV234" s="8" t="str">
        <f t="shared" si="175"/>
        <v/>
      </c>
      <c r="BX234" s="71" t="e">
        <f t="shared" si="176"/>
        <v>#VALUE!</v>
      </c>
      <c r="BY234" s="71" t="str">
        <f>IF(OR(COUNTBLANK(CB234)=1,ISERROR(CB234)),"",COUNT($CB$4:CB234))</f>
        <v/>
      </c>
      <c r="BZ234" s="7" t="e">
        <f t="shared" si="177"/>
        <v>#VALUE!</v>
      </c>
      <c r="CA234" s="1" t="str">
        <f t="shared" si="178"/>
        <v/>
      </c>
      <c r="CB234" s="79" t="e">
        <f>IF(IF(COUNTIF($CB$4:CB233,CB232)&gt;=MAX($D$4:$D$8),CB232+2,CB232)&gt;55,"",IF(COUNTIF($CB$4:CB233,CB232)&gt;=MAX($D$4:$D$8),CB232+2,CB232))</f>
        <v>#VALUE!</v>
      </c>
      <c r="CC234" s="1" t="e">
        <f t="shared" si="179"/>
        <v>#VALUE!</v>
      </c>
      <c r="CD234" s="8" t="str">
        <f t="shared" si="180"/>
        <v/>
      </c>
      <c r="CF234" s="71" t="e">
        <f t="shared" si="193"/>
        <v>#VALUE!</v>
      </c>
      <c r="CG234" s="71" t="str">
        <f>IF(OR(COUNTBLANK(CJ234)=1,ISERROR(CJ234)),"",COUNT($CJ$4:CJ234))</f>
        <v/>
      </c>
      <c r="CH234" s="7" t="e">
        <f t="shared" si="194"/>
        <v>#VALUE!</v>
      </c>
      <c r="CI234" s="1" t="str">
        <f t="shared" si="195"/>
        <v/>
      </c>
      <c r="CJ234" s="79" t="e">
        <f>IF(IF(COUNTIF($CJ$4:CJ233,CJ231)&gt;=MAX($D$4:$D$8),CJ231+3,CJ231)&gt;55,"",IF(COUNTIF($CJ$4:CJ233,CJ231)&gt;=MAX($D$4:$D$8),CJ231+3,CJ231))</f>
        <v>#VALUE!</v>
      </c>
      <c r="CK234" s="1" t="e">
        <f t="shared" si="181"/>
        <v>#VALUE!</v>
      </c>
      <c r="CL234" s="8" t="str">
        <f t="shared" si="196"/>
        <v/>
      </c>
      <c r="CN234" s="71" t="e">
        <f t="shared" si="187"/>
        <v>#VALUE!</v>
      </c>
      <c r="CO234" s="71" t="str">
        <f>IF(OR(COUNTBLANK(CR234)=1,ISERROR(CR234)),"",COUNT($CR$4:CR234))</f>
        <v/>
      </c>
      <c r="CP234" s="7" t="e">
        <f t="shared" si="188"/>
        <v>#VALUE!</v>
      </c>
      <c r="CQ234" s="1" t="str">
        <f t="shared" si="189"/>
        <v/>
      </c>
      <c r="CR234" s="79" t="e">
        <f>IF(IF(COUNTIF($CR$4:CR233,CR230)&gt;=MAX($D$4:$D$8),CR230+4,CR230)&gt;55,"",IF(COUNTIF($CR$4:CR233,CR230)&gt;=MAX($D$4:$D$8),CR230+4,CR230))</f>
        <v>#VALUE!</v>
      </c>
      <c r="CS234" s="1" t="e">
        <f t="shared" si="182"/>
        <v>#VALUE!</v>
      </c>
      <c r="CT234" s="8" t="str">
        <f t="shared" si="190"/>
        <v/>
      </c>
      <c r="CV234" s="71" t="e">
        <f t="shared" si="197"/>
        <v>#VALUE!</v>
      </c>
      <c r="CW234" s="71" t="str">
        <f>IF(OR(COUNTBLANK(CZ234)=1,ISERROR(CZ234)),"",COUNT($CZ$4:CZ234))</f>
        <v/>
      </c>
      <c r="CX234" s="7" t="e">
        <f t="shared" si="198"/>
        <v>#VALUE!</v>
      </c>
      <c r="CY234" s="1" t="str">
        <f t="shared" si="199"/>
        <v/>
      </c>
      <c r="CZ234" s="79" t="e">
        <f>IF(IF(COUNTIF($CZ$4:CZ233,CZ229)&gt;=MAX($D$4:$D$8),CZ229+5,CZ229)&gt;55,"",IF(COUNTIF($CZ$4:CZ233,CZ229)&gt;=MAX($D$4:$D$8),CZ229+5,CZ229))</f>
        <v>#VALUE!</v>
      </c>
      <c r="DA234" s="1" t="e">
        <f t="shared" si="183"/>
        <v>#VALUE!</v>
      </c>
      <c r="DB234" s="8" t="str">
        <f t="shared" si="200"/>
        <v/>
      </c>
    </row>
    <row r="235" spans="5:106" x14ac:dyDescent="0.15">
      <c r="E235" s="1">
        <v>232</v>
      </c>
      <c r="F235" s="1">
        <f t="shared" si="184"/>
        <v>1</v>
      </c>
      <c r="G235" s="1">
        <f t="shared" si="191"/>
        <v>1</v>
      </c>
      <c r="H235" s="1">
        <f t="shared" si="185"/>
        <v>1</v>
      </c>
      <c r="I235" s="1">
        <f t="shared" si="186"/>
        <v>1</v>
      </c>
      <c r="J235" s="1">
        <f t="shared" si="192"/>
        <v>1</v>
      </c>
      <c r="L235" s="1" t="str">
        <f>IF(ISERROR(HLOOKUP($C$10,$F$3:$J$253,233,0)),"",HLOOKUP($C$10,$F$3:$J$253,233,0))</f>
        <v/>
      </c>
      <c r="N235" s="67"/>
      <c r="W235" s="71" t="e">
        <f>IF(AA235="","",AA235*10+2)</f>
        <v>#VALUE!</v>
      </c>
      <c r="X235" s="71" t="str">
        <f>IF(OR(COUNTBLANK(AA235)=1,ISERROR(AA235)),"",COUNT(AA4:AA235))</f>
        <v/>
      </c>
      <c r="Y235" s="7" t="e">
        <f t="shared" si="157"/>
        <v>#VALUE!</v>
      </c>
      <c r="Z235" s="1" t="str">
        <f t="shared" si="171"/>
        <v/>
      </c>
      <c r="AA235" s="79" t="e">
        <f>IF(IF(COUNTIF(AA4:AA234,AA234)&gt;=MAX(D4:D8),AA234+1,AA234)&gt;50,"",IF(COUNTIF(AA4:AA234,AA234)&gt;=MAX(D4:D8),AA234+1,AA234))</f>
        <v>#VALUE!</v>
      </c>
      <c r="AB235" s="1" t="e">
        <f>IF(AA235="","",VLOOKUP(AA235,S4:U53,3,0))</f>
        <v>#VALUE!</v>
      </c>
      <c r="AC235" s="8" t="str">
        <f t="shared" si="158"/>
        <v/>
      </c>
      <c r="AE235" s="71" t="e">
        <f t="shared" si="159"/>
        <v>#VALUE!</v>
      </c>
      <c r="AF235" s="71" t="str">
        <f>IF(OR(COUNTBLANK(AI235)=1,ISERROR(AI235)),"",COUNT(AI4:AI235))</f>
        <v/>
      </c>
      <c r="AG235" s="7" t="e">
        <f t="shared" si="160"/>
        <v>#VALUE!</v>
      </c>
      <c r="AH235" s="1" t="str">
        <f>IF(ISERROR(INDEX(C4:C8,MATCH(G235,D4:D8,0))),"",INDEX(C4:C8,MATCH(G235,D4:D8,0)))</f>
        <v/>
      </c>
      <c r="AI235" s="79" t="e">
        <f>IF(IF(COUNTIF(AI4:AI233,AI233)&gt;=MAX(D4:D8),AI233+2,AI233)&gt;50,"",IF(COUNTIF(AI4:AI233,AI233)&gt;=MAX(D4:D8),AI233+2,AI233))</f>
        <v>#VALUE!</v>
      </c>
      <c r="AJ235" s="1" t="e">
        <f>IF(AI235="","",VLOOKUP(AI235,S4:U53,3,0))</f>
        <v>#VALUE!</v>
      </c>
      <c r="AK235" s="8" t="str">
        <f t="shared" si="161"/>
        <v/>
      </c>
      <c r="AM235" s="71" t="e">
        <f t="shared" si="162"/>
        <v>#VALUE!</v>
      </c>
      <c r="AN235" s="71" t="str">
        <f>IF(OR(COUNTBLANK(AQ235)=1,ISERROR(AQ235)),"",COUNT(AQ4:AQ235))</f>
        <v/>
      </c>
      <c r="AO235" s="7" t="e">
        <f t="shared" si="163"/>
        <v>#VALUE!</v>
      </c>
      <c r="AP235" s="1" t="str">
        <f>IF(ISERROR(INDEX(C4:C8,MATCH(H235,D4:D8,0))),"",INDEX(C4:C8,MATCH(H235,D4:D8,0)))</f>
        <v/>
      </c>
      <c r="AQ235" s="79" t="e">
        <f>IF(IF(COUNTIF(AQ4:AQ234,AQ232)&gt;=MAX(D4:D8),AQ232+3,AQ232)&gt;50,"",IF(COUNTIF(AQ4:AQ234,AQ232)&gt;=MAX(D4:D8),AQ232+3,AQ232))</f>
        <v>#VALUE!</v>
      </c>
      <c r="AR235" s="1" t="e">
        <f>IF(AQ235="","",VLOOKUP(AQ235,S4:U53,3,0))</f>
        <v>#VALUE!</v>
      </c>
      <c r="AS235" s="8" t="str">
        <f t="shared" si="164"/>
        <v/>
      </c>
      <c r="AU235" s="71" t="e">
        <f t="shared" si="165"/>
        <v>#VALUE!</v>
      </c>
      <c r="AV235" s="71" t="str">
        <f>IF(OR(COUNTBLANK(AY235)=1,ISERROR(AY235)),"",COUNT(AY4:AY235))</f>
        <v/>
      </c>
      <c r="AW235" s="7" t="e">
        <f t="shared" si="166"/>
        <v>#VALUE!</v>
      </c>
      <c r="AX235" s="1" t="str">
        <f>IF(ISERROR(INDEX(C4:C8,MATCH(I235,D4:D8,0))),"",INDEX(C4:C8,MATCH(I235,D4:D8,0)))</f>
        <v/>
      </c>
      <c r="AY235" s="79" t="e">
        <f>IF(IF(COUNTIF(AY4:AY234,AY231)&gt;=MAX(D4:D8),AY231+4,AY231)&gt;50,"",IF(COUNTIF(AY4:AY234,AY231)&gt;=MAX(D4:D8),AY231+4,AY231))</f>
        <v>#VALUE!</v>
      </c>
      <c r="AZ235" s="76" t="e">
        <f>IF(AY235="","",VLOOKUP(AY235,S4:U53,3,0))</f>
        <v>#VALUE!</v>
      </c>
      <c r="BA235" s="8" t="str">
        <f t="shared" si="167"/>
        <v/>
      </c>
      <c r="BC235" s="71" t="e">
        <f t="shared" si="168"/>
        <v>#VALUE!</v>
      </c>
      <c r="BD235" s="71" t="str">
        <f>IF(OR(COUNTBLANK(BG235)=1,ISERROR(BG235)),"",COUNT(BG4:BG235))</f>
        <v/>
      </c>
      <c r="BE235" s="7" t="e">
        <f t="shared" si="169"/>
        <v>#VALUE!</v>
      </c>
      <c r="BF235" s="1" t="str">
        <f>IF(ISERROR(INDEX(C4:C8,MATCH(J235,D4:D8,0))),"",INDEX(C4:C8,MATCH(J235,D4:D8,0)))</f>
        <v/>
      </c>
      <c r="BG235" s="79" t="e">
        <f>IF(IF(COUNTIF(BG4:BG234,BG230)&gt;=MAX(D4:D8),BG230+5,BG230)&gt;50,"",IF(COUNTIF(BG4:BG234,BG230)&gt;=MAX(D4:D8),BG230+5,BG230))</f>
        <v>#VALUE!</v>
      </c>
      <c r="BH235" s="76" t="e">
        <f>IF(BG235="","",VLOOKUP(BG235,S4:U53,3,0))</f>
        <v>#VALUE!</v>
      </c>
      <c r="BI235" s="8" t="str">
        <f t="shared" si="170"/>
        <v/>
      </c>
      <c r="BP235" s="71" t="e">
        <f>IF(BT235="","",BT235*10+2)</f>
        <v>#VALUE!</v>
      </c>
      <c r="BQ235" s="71" t="str">
        <f>IF(OR(COUNTBLANK(BT235)=1,ISERROR(BT235)),"",COUNT(BT4:BT235))</f>
        <v/>
      </c>
      <c r="BR235" s="7" t="e">
        <f t="shared" si="172"/>
        <v>#VALUE!</v>
      </c>
      <c r="BS235" s="1" t="str">
        <f t="shared" si="173"/>
        <v/>
      </c>
      <c r="BT235" s="79" t="e">
        <f>IF(IF(COUNTIF($BT$4:BT234,BT234)&gt;=MAX($D$4:$D$8),BT234+1,BT234)&gt;55,"",IF(COUNTIF($BT$4:BT234,BT234)&gt;=MAX($D$4:$D$8),BT234+1,BT234))</f>
        <v>#VALUE!</v>
      </c>
      <c r="BU235" s="1" t="e">
        <f t="shared" si="174"/>
        <v>#VALUE!</v>
      </c>
      <c r="BV235" s="8" t="str">
        <f t="shared" si="175"/>
        <v/>
      </c>
      <c r="BX235" s="71" t="e">
        <f t="shared" si="176"/>
        <v>#VALUE!</v>
      </c>
      <c r="BY235" s="71" t="str">
        <f>IF(OR(COUNTBLANK(CB235)=1,ISERROR(CB235)),"",COUNT($CB$4:CB235))</f>
        <v/>
      </c>
      <c r="BZ235" s="7" t="e">
        <f t="shared" si="177"/>
        <v>#VALUE!</v>
      </c>
      <c r="CA235" s="1" t="str">
        <f t="shared" si="178"/>
        <v/>
      </c>
      <c r="CB235" s="79" t="e">
        <f>IF(IF(COUNTIF($CB$4:CB234,CB233)&gt;=MAX($D$4:$D$8),CB233+2,CB233)&gt;55,"",IF(COUNTIF($CB$4:CB234,CB233)&gt;=MAX($D$4:$D$8),CB233+2,CB233))</f>
        <v>#VALUE!</v>
      </c>
      <c r="CC235" s="1" t="e">
        <f t="shared" si="179"/>
        <v>#VALUE!</v>
      </c>
      <c r="CD235" s="8" t="str">
        <f t="shared" si="180"/>
        <v/>
      </c>
      <c r="CF235" s="71" t="e">
        <f t="shared" si="193"/>
        <v>#VALUE!</v>
      </c>
      <c r="CG235" s="71" t="str">
        <f>IF(OR(COUNTBLANK(CJ235)=1,ISERROR(CJ235)),"",COUNT($CJ$4:CJ235))</f>
        <v/>
      </c>
      <c r="CH235" s="7" t="e">
        <f t="shared" si="194"/>
        <v>#VALUE!</v>
      </c>
      <c r="CI235" s="1" t="str">
        <f t="shared" si="195"/>
        <v/>
      </c>
      <c r="CJ235" s="79" t="e">
        <f>IF(IF(COUNTIF($CJ$4:CJ234,CJ232)&gt;=MAX($D$4:$D$8),CJ232+3,CJ232)&gt;55,"",IF(COUNTIF($CJ$4:CJ234,CJ232)&gt;=MAX($D$4:$D$8),CJ232+3,CJ232))</f>
        <v>#VALUE!</v>
      </c>
      <c r="CK235" s="1" t="e">
        <f t="shared" si="181"/>
        <v>#VALUE!</v>
      </c>
      <c r="CL235" s="8" t="str">
        <f t="shared" si="196"/>
        <v/>
      </c>
      <c r="CN235" s="71" t="e">
        <f t="shared" si="187"/>
        <v>#VALUE!</v>
      </c>
      <c r="CO235" s="71" t="str">
        <f>IF(OR(COUNTBLANK(CR235)=1,ISERROR(CR235)),"",COUNT($CR$4:CR235))</f>
        <v/>
      </c>
      <c r="CP235" s="7" t="e">
        <f t="shared" si="188"/>
        <v>#VALUE!</v>
      </c>
      <c r="CQ235" s="1" t="str">
        <f t="shared" si="189"/>
        <v/>
      </c>
      <c r="CR235" s="79" t="e">
        <f>IF(IF(COUNTIF($CR$4:CR234,CR231)&gt;=MAX($D$4:$D$8),CR231+4,CR231)&gt;55,"",IF(COUNTIF($CR$4:CR234,CR231)&gt;=MAX($D$4:$D$8),CR231+4,CR231))</f>
        <v>#VALUE!</v>
      </c>
      <c r="CS235" s="1" t="e">
        <f t="shared" si="182"/>
        <v>#VALUE!</v>
      </c>
      <c r="CT235" s="8" t="str">
        <f t="shared" si="190"/>
        <v/>
      </c>
      <c r="CV235" s="71" t="e">
        <f t="shared" si="197"/>
        <v>#VALUE!</v>
      </c>
      <c r="CW235" s="71" t="str">
        <f>IF(OR(COUNTBLANK(CZ235)=1,ISERROR(CZ235)),"",COUNT($CZ$4:CZ235))</f>
        <v/>
      </c>
      <c r="CX235" s="7" t="e">
        <f t="shared" si="198"/>
        <v>#VALUE!</v>
      </c>
      <c r="CY235" s="1" t="str">
        <f t="shared" si="199"/>
        <v/>
      </c>
      <c r="CZ235" s="79" t="e">
        <f>IF(IF(COUNTIF($CZ$4:CZ234,CZ230)&gt;=MAX($D$4:$D$8),CZ230+5,CZ230)&gt;55,"",IF(COUNTIF($CZ$4:CZ234,CZ230)&gt;=MAX($D$4:$D$8),CZ230+5,CZ230))</f>
        <v>#VALUE!</v>
      </c>
      <c r="DA235" s="1" t="e">
        <f t="shared" si="183"/>
        <v>#VALUE!</v>
      </c>
      <c r="DB235" s="8" t="str">
        <f t="shared" si="200"/>
        <v/>
      </c>
    </row>
    <row r="236" spans="5:106" x14ac:dyDescent="0.15">
      <c r="E236" s="1">
        <v>233</v>
      </c>
      <c r="F236" s="1">
        <f t="shared" si="184"/>
        <v>1</v>
      </c>
      <c r="G236" s="1">
        <f t="shared" si="191"/>
        <v>1</v>
      </c>
      <c r="H236" s="1">
        <f t="shared" si="185"/>
        <v>1</v>
      </c>
      <c r="I236" s="1">
        <f t="shared" si="186"/>
        <v>1</v>
      </c>
      <c r="J236" s="1">
        <f t="shared" si="192"/>
        <v>1</v>
      </c>
      <c r="L236" s="1" t="str">
        <f>IF(ISERROR(HLOOKUP($C$10,$F$3:$J$253,234,0)),"",HLOOKUP($C$10,$F$3:$J$253,234,0))</f>
        <v/>
      </c>
      <c r="N236" s="67"/>
      <c r="W236" s="71" t="e">
        <f>IF(AA236="","",AA236*10+3)</f>
        <v>#VALUE!</v>
      </c>
      <c r="X236" s="71" t="str">
        <f>IF(OR(COUNTBLANK(AA236)=1,ISERROR(AA236)),"",COUNT(AA4:AA236))</f>
        <v/>
      </c>
      <c r="Y236" s="7" t="e">
        <f t="shared" si="157"/>
        <v>#VALUE!</v>
      </c>
      <c r="Z236" s="1" t="str">
        <f t="shared" si="171"/>
        <v/>
      </c>
      <c r="AA236" s="79" t="e">
        <f>IF(IF(COUNTIF(AA4:AA235,AA235)&gt;=MAX(D4:D8),AA235+1,AA235)&gt;50,"",IF(COUNTIF(AA4:AA235,AA235)&gt;=MAX(D4:D8),AA235+1,AA235))</f>
        <v>#VALUE!</v>
      </c>
      <c r="AB236" s="1" t="e">
        <f>IF(AA236="","",VLOOKUP(AA236,S4:U53,3,0))</f>
        <v>#VALUE!</v>
      </c>
      <c r="AC236" s="8" t="str">
        <f t="shared" si="158"/>
        <v/>
      </c>
      <c r="AE236" s="71" t="e">
        <f t="shared" si="159"/>
        <v>#VALUE!</v>
      </c>
      <c r="AF236" s="71" t="str">
        <f>IF(OR(COUNTBLANK(AI236)=1,ISERROR(AI236)),"",COUNT(AI4:AI236))</f>
        <v/>
      </c>
      <c r="AG236" s="7" t="e">
        <f t="shared" si="160"/>
        <v>#VALUE!</v>
      </c>
      <c r="AH236" s="1" t="str">
        <f>IF(ISERROR(INDEX(C4:C8,MATCH(G236,D4:D8,0))),"",INDEX(C4:C8,MATCH(G236,D4:D8,0)))</f>
        <v/>
      </c>
      <c r="AI236" s="79" t="e">
        <f>IF(IF(COUNTIF(AI4:AI235,AI234)&gt;=MAX(D4:D8),AI234+2,AI234)&gt;50,"",IF(COUNTIF(AI4:AI235,AI234)&gt;=MAX(D4:D8),AI234+2,AI234))</f>
        <v>#VALUE!</v>
      </c>
      <c r="AJ236" s="1" t="e">
        <f>IF(AI236="","",VLOOKUP(AI236,S4:U53,3,0))</f>
        <v>#VALUE!</v>
      </c>
      <c r="AK236" s="8" t="str">
        <f t="shared" si="161"/>
        <v/>
      </c>
      <c r="AM236" s="71" t="e">
        <f t="shared" si="162"/>
        <v>#VALUE!</v>
      </c>
      <c r="AN236" s="71" t="str">
        <f>IF(OR(COUNTBLANK(AQ236)=1,ISERROR(AQ236)),"",COUNT(AQ4:AQ236))</f>
        <v/>
      </c>
      <c r="AO236" s="7" t="e">
        <f t="shared" si="163"/>
        <v>#VALUE!</v>
      </c>
      <c r="AP236" s="1" t="str">
        <f>IF(ISERROR(INDEX(C4:C8,MATCH(H236,D4:D8,0))),"",INDEX(C4:C8,MATCH(H236,D4:D8,0)))</f>
        <v/>
      </c>
      <c r="AQ236" s="79" t="e">
        <f>IF(IF(COUNTIF(AQ4:AQ235,AQ233)&gt;=MAX(D4:D8),AQ233+3,AQ233)&gt;50,"",IF(COUNTIF(AQ4:AQ235,AQ233)&gt;=MAX(D4:D8),AQ233+3,AQ233))</f>
        <v>#VALUE!</v>
      </c>
      <c r="AR236" s="1" t="e">
        <f>IF(AQ236="","",VLOOKUP(AQ236,S4:U53,3,0))</f>
        <v>#VALUE!</v>
      </c>
      <c r="AS236" s="8" t="str">
        <f t="shared" si="164"/>
        <v/>
      </c>
      <c r="AU236" s="71" t="e">
        <f t="shared" si="165"/>
        <v>#VALUE!</v>
      </c>
      <c r="AV236" s="71" t="str">
        <f>IF(OR(COUNTBLANK(AY236)=1,ISERROR(AY236)),"",COUNT(AY4:AY236))</f>
        <v/>
      </c>
      <c r="AW236" s="7" t="e">
        <f t="shared" si="166"/>
        <v>#VALUE!</v>
      </c>
      <c r="AX236" s="1" t="str">
        <f>IF(ISERROR(INDEX(C4:C8,MATCH(I236,D4:D8,0))),"",INDEX(C4:C8,MATCH(I236,D4:D8,0)))</f>
        <v/>
      </c>
      <c r="AY236" s="79" t="e">
        <f>IF(IF(COUNTIF(AY4:AY235,AY232)&gt;=MAX(D4:D8),AY232+4,AY232)&gt;50,"",IF(COUNTIF(AY4:AY235,AY232)&gt;=MAX(D4:D8),AY232+4,AY232))</f>
        <v>#VALUE!</v>
      </c>
      <c r="AZ236" s="76" t="e">
        <f>IF(AY236="","",VLOOKUP(AY236,S4:U53,3,0))</f>
        <v>#VALUE!</v>
      </c>
      <c r="BA236" s="8" t="str">
        <f t="shared" si="167"/>
        <v/>
      </c>
      <c r="BC236" s="71" t="e">
        <f t="shared" si="168"/>
        <v>#VALUE!</v>
      </c>
      <c r="BD236" s="71" t="str">
        <f>IF(OR(COUNTBLANK(BG236)=1,ISERROR(BG236)),"",COUNT(BG4:BG236))</f>
        <v/>
      </c>
      <c r="BE236" s="7" t="e">
        <f t="shared" si="169"/>
        <v>#VALUE!</v>
      </c>
      <c r="BF236" s="1" t="str">
        <f>IF(ISERROR(INDEX(C4:C8,MATCH(J236,D4:D8,0))),"",INDEX(C4:C8,MATCH(J236,D4:D8,0)))</f>
        <v/>
      </c>
      <c r="BG236" s="79" t="e">
        <f>IF(IF(COUNTIF(BG4:BG235,BG231)&gt;=MAX(D4:D8),BG231+5,BG231)&gt;50,"",IF(COUNTIF(BG4:BG235,BG231)&gt;=MAX(D4:D8),BG231+5,BG231))</f>
        <v>#VALUE!</v>
      </c>
      <c r="BH236" s="76" t="e">
        <f>IF(BG236="","",VLOOKUP(BG236,S4:U53,3,0))</f>
        <v>#VALUE!</v>
      </c>
      <c r="BI236" s="8" t="str">
        <f t="shared" si="170"/>
        <v/>
      </c>
      <c r="BP236" s="71" t="e">
        <f>IF(BT236="","",BT236*10+3)</f>
        <v>#VALUE!</v>
      </c>
      <c r="BQ236" s="71" t="str">
        <f>IF(OR(COUNTBLANK(BT236)=1,ISERROR(BT236)),"",COUNT(BT4:BT236))</f>
        <v/>
      </c>
      <c r="BR236" s="7" t="e">
        <f t="shared" si="172"/>
        <v>#VALUE!</v>
      </c>
      <c r="BS236" s="1" t="str">
        <f t="shared" si="173"/>
        <v/>
      </c>
      <c r="BT236" s="79" t="e">
        <f>IF(IF(COUNTIF($BT$4:BT235,BT235)&gt;=MAX($D$4:$D$8),BT235+1,BT235)&gt;55,"",IF(COUNTIF($BT$4:BT235,BT235)&gt;=MAX($D$4:$D$8),BT235+1,BT235))</f>
        <v>#VALUE!</v>
      </c>
      <c r="BU236" s="1" t="e">
        <f t="shared" si="174"/>
        <v>#VALUE!</v>
      </c>
      <c r="BV236" s="8" t="str">
        <f t="shared" si="175"/>
        <v/>
      </c>
      <c r="BX236" s="71" t="e">
        <f t="shared" si="176"/>
        <v>#VALUE!</v>
      </c>
      <c r="BY236" s="71" t="str">
        <f>IF(OR(COUNTBLANK(CB236)=1,ISERROR(CB236)),"",COUNT($CB$4:CB236))</f>
        <v/>
      </c>
      <c r="BZ236" s="7" t="e">
        <f t="shared" si="177"/>
        <v>#VALUE!</v>
      </c>
      <c r="CA236" s="1" t="str">
        <f t="shared" si="178"/>
        <v/>
      </c>
      <c r="CB236" s="79" t="e">
        <f>IF(IF(COUNTIF($CB$4:CB235,CB234)&gt;=MAX($D$4:$D$8),CB234+2,CB234)&gt;55,"",IF(COUNTIF($CB$4:CB235,CB234)&gt;=MAX($D$4:$D$8),CB234+2,CB234))</f>
        <v>#VALUE!</v>
      </c>
      <c r="CC236" s="1" t="e">
        <f t="shared" si="179"/>
        <v>#VALUE!</v>
      </c>
      <c r="CD236" s="8" t="str">
        <f t="shared" si="180"/>
        <v/>
      </c>
      <c r="CF236" s="71" t="e">
        <f t="shared" si="193"/>
        <v>#VALUE!</v>
      </c>
      <c r="CG236" s="71" t="str">
        <f>IF(OR(COUNTBLANK(CJ236)=1,ISERROR(CJ236)),"",COUNT($CJ$4:CJ236))</f>
        <v/>
      </c>
      <c r="CH236" s="7" t="e">
        <f t="shared" si="194"/>
        <v>#VALUE!</v>
      </c>
      <c r="CI236" s="1" t="str">
        <f t="shared" si="195"/>
        <v/>
      </c>
      <c r="CJ236" s="79" t="e">
        <f>IF(IF(COUNTIF($CJ$4:CJ235,CJ233)&gt;=MAX($D$4:$D$8),CJ233+3,CJ233)&gt;55,"",IF(COUNTIF($CJ$4:CJ235,CJ233)&gt;=MAX($D$4:$D$8),CJ233+3,CJ233))</f>
        <v>#VALUE!</v>
      </c>
      <c r="CK236" s="1" t="e">
        <f t="shared" si="181"/>
        <v>#VALUE!</v>
      </c>
      <c r="CL236" s="8" t="str">
        <f t="shared" si="196"/>
        <v/>
      </c>
      <c r="CN236" s="71" t="e">
        <f t="shared" si="187"/>
        <v>#VALUE!</v>
      </c>
      <c r="CO236" s="71" t="str">
        <f>IF(OR(COUNTBLANK(CR236)=1,ISERROR(CR236)),"",COUNT($CR$4:CR236))</f>
        <v/>
      </c>
      <c r="CP236" s="7" t="e">
        <f t="shared" si="188"/>
        <v>#VALUE!</v>
      </c>
      <c r="CQ236" s="1" t="str">
        <f t="shared" si="189"/>
        <v/>
      </c>
      <c r="CR236" s="79" t="e">
        <f>IF(IF(COUNTIF($CR$4:CR235,CR232)&gt;=MAX($D$4:$D$8),CR232+4,CR232)&gt;55,"",IF(COUNTIF($CR$4:CR235,CR232)&gt;=MAX($D$4:$D$8),CR232+4,CR232))</f>
        <v>#VALUE!</v>
      </c>
      <c r="CS236" s="1" t="e">
        <f t="shared" si="182"/>
        <v>#VALUE!</v>
      </c>
      <c r="CT236" s="8" t="str">
        <f t="shared" si="190"/>
        <v/>
      </c>
      <c r="CV236" s="71" t="e">
        <f t="shared" si="197"/>
        <v>#VALUE!</v>
      </c>
      <c r="CW236" s="71" t="str">
        <f>IF(OR(COUNTBLANK(CZ236)=1,ISERROR(CZ236)),"",COUNT($CZ$4:CZ236))</f>
        <v/>
      </c>
      <c r="CX236" s="7" t="e">
        <f t="shared" si="198"/>
        <v>#VALUE!</v>
      </c>
      <c r="CY236" s="1" t="str">
        <f t="shared" si="199"/>
        <v/>
      </c>
      <c r="CZ236" s="79" t="e">
        <f>IF(IF(COUNTIF($CZ$4:CZ235,CZ231)&gt;=MAX($D$4:$D$8),CZ231+5,CZ231)&gt;55,"",IF(COUNTIF($CZ$4:CZ235,CZ231)&gt;=MAX($D$4:$D$8),CZ231+5,CZ231))</f>
        <v>#VALUE!</v>
      </c>
      <c r="DA236" s="1" t="e">
        <f t="shared" si="183"/>
        <v>#VALUE!</v>
      </c>
      <c r="DB236" s="8" t="str">
        <f t="shared" si="200"/>
        <v/>
      </c>
    </row>
    <row r="237" spans="5:106" x14ac:dyDescent="0.15">
      <c r="E237" s="1">
        <v>234</v>
      </c>
      <c r="F237" s="1">
        <f t="shared" si="184"/>
        <v>1</v>
      </c>
      <c r="G237" s="1">
        <f t="shared" si="191"/>
        <v>1</v>
      </c>
      <c r="H237" s="1">
        <f t="shared" si="185"/>
        <v>1</v>
      </c>
      <c r="I237" s="1">
        <f t="shared" si="186"/>
        <v>1</v>
      </c>
      <c r="J237" s="1">
        <f t="shared" si="192"/>
        <v>1</v>
      </c>
      <c r="L237" s="1" t="str">
        <f>IF(ISERROR(HLOOKUP($C$10,$F$3:$J$253,235,0)),"",HLOOKUP($C$10,$F$3:$J$253,235,0))</f>
        <v/>
      </c>
      <c r="N237" s="67"/>
      <c r="W237" s="71" t="e">
        <f>IF(AA237="","",AA237*10+4)</f>
        <v>#VALUE!</v>
      </c>
      <c r="X237" s="71" t="str">
        <f>IF(OR(COUNTBLANK(AA237)=1,ISERROR(AA237)),"",COUNT(AA4:AA237))</f>
        <v/>
      </c>
      <c r="Y237" s="7" t="e">
        <f t="shared" si="157"/>
        <v>#VALUE!</v>
      </c>
      <c r="Z237" s="1" t="str">
        <f t="shared" si="171"/>
        <v/>
      </c>
      <c r="AA237" s="79" t="e">
        <f>IF(IF(COUNTIF(AA4:AA236,AA236)&gt;=MAX(D4:D8),AA236+1,AA236)&gt;50,"",IF(COUNTIF(AA4:AA236,AA236)&gt;=MAX(D4:D8),AA236+1,AA236))</f>
        <v>#VALUE!</v>
      </c>
      <c r="AB237" s="1" t="e">
        <f>IF(AA237="","",VLOOKUP(AA237,S4:U53,3,0))</f>
        <v>#VALUE!</v>
      </c>
      <c r="AC237" s="8" t="str">
        <f t="shared" si="158"/>
        <v/>
      </c>
      <c r="AE237" s="71" t="e">
        <f t="shared" si="159"/>
        <v>#VALUE!</v>
      </c>
      <c r="AF237" s="71" t="str">
        <f>IF(OR(COUNTBLANK(AI237)=1,ISERROR(AI237)),"",COUNT(AI4:AI237))</f>
        <v/>
      </c>
      <c r="AG237" s="7" t="e">
        <f t="shared" si="160"/>
        <v>#VALUE!</v>
      </c>
      <c r="AH237" s="1" t="str">
        <f>IF(ISERROR(INDEX(C4:C8,MATCH(G237,D4:D8,0))),"",INDEX(C4:C8,MATCH(G237,D4:D8,0)))</f>
        <v/>
      </c>
      <c r="AI237" s="79" t="e">
        <f>IF(IF(COUNTIF(AI4:AI235,AI235)&gt;=MAX(D4:D8),AI235+2,AI235)&gt;50,"",IF(COUNTIF(AI4:AI235,AI235)&gt;=MAX(D4:D8),AI235+2,AI235))</f>
        <v>#VALUE!</v>
      </c>
      <c r="AJ237" s="1" t="e">
        <f>IF(AI237="","",VLOOKUP(AI237,S4:U53,3,0))</f>
        <v>#VALUE!</v>
      </c>
      <c r="AK237" s="8" t="str">
        <f t="shared" si="161"/>
        <v/>
      </c>
      <c r="AM237" s="71" t="e">
        <f t="shared" si="162"/>
        <v>#VALUE!</v>
      </c>
      <c r="AN237" s="71" t="str">
        <f>IF(OR(COUNTBLANK(AQ237)=1,ISERROR(AQ237)),"",COUNT(AQ4:AQ237))</f>
        <v/>
      </c>
      <c r="AO237" s="7" t="e">
        <f t="shared" si="163"/>
        <v>#VALUE!</v>
      </c>
      <c r="AP237" s="1" t="str">
        <f>IF(ISERROR(INDEX(C4:C8,MATCH(H237,D4:D8,0))),"",INDEX(C4:C8,MATCH(H237,D4:D8,0)))</f>
        <v/>
      </c>
      <c r="AQ237" s="79" t="e">
        <f>IF(IF(COUNTIF(AQ4:AQ236,AQ234)&gt;=MAX(D4:D8),AQ234+3,AQ234)&gt;50,"",IF(COUNTIF(AQ4:AQ236,AQ234)&gt;=MAX(D4:D8),AQ234+3,AQ234))</f>
        <v>#VALUE!</v>
      </c>
      <c r="AR237" s="1" t="e">
        <f>IF(AQ237="","",VLOOKUP(AQ237,S4:U53,3,0))</f>
        <v>#VALUE!</v>
      </c>
      <c r="AS237" s="8" t="str">
        <f t="shared" si="164"/>
        <v/>
      </c>
      <c r="AU237" s="71" t="e">
        <f t="shared" si="165"/>
        <v>#VALUE!</v>
      </c>
      <c r="AV237" s="71" t="str">
        <f>IF(OR(COUNTBLANK(AY237)=1,ISERROR(AY237)),"",COUNT(AY4:AY237))</f>
        <v/>
      </c>
      <c r="AW237" s="7" t="e">
        <f t="shared" si="166"/>
        <v>#VALUE!</v>
      </c>
      <c r="AX237" s="1" t="str">
        <f>IF(ISERROR(INDEX(C4:C8,MATCH(I237,D4:D8,0))),"",INDEX(C4:C8,MATCH(I237,D4:D8,0)))</f>
        <v/>
      </c>
      <c r="AY237" s="79" t="e">
        <f>IF(IF(COUNTIF(AY4:AY236,AY233)&gt;=MAX(D4:D8),AY233+4,AY233)&gt;50,"",IF(COUNTIF(AY4:AY236,AY233)&gt;=MAX(D4:D8),AY233+4,AY233))</f>
        <v>#VALUE!</v>
      </c>
      <c r="AZ237" s="76" t="e">
        <f>IF(AY237="","",VLOOKUP(AY237,S4:U53,3,0))</f>
        <v>#VALUE!</v>
      </c>
      <c r="BA237" s="8" t="str">
        <f t="shared" si="167"/>
        <v/>
      </c>
      <c r="BC237" s="71" t="e">
        <f t="shared" si="168"/>
        <v>#VALUE!</v>
      </c>
      <c r="BD237" s="71" t="str">
        <f>IF(OR(COUNTBLANK(BG237)=1,ISERROR(BG237)),"",COUNT(BG4:BG237))</f>
        <v/>
      </c>
      <c r="BE237" s="7" t="e">
        <f t="shared" si="169"/>
        <v>#VALUE!</v>
      </c>
      <c r="BF237" s="1" t="str">
        <f>IF(ISERROR(INDEX(C4:C8,MATCH(J237,D4:D8,0))),"",INDEX(C4:C8,MATCH(J237,D4:D8,0)))</f>
        <v/>
      </c>
      <c r="BG237" s="79" t="e">
        <f>IF(IF(COUNTIF(BG4:BG236,BG232)&gt;=MAX(D4:D8),BG232+5,BG232)&gt;50,"",IF(COUNTIF(BG4:BG236,BG232)&gt;=MAX(D4:D8),BG232+5,BG232))</f>
        <v>#VALUE!</v>
      </c>
      <c r="BH237" s="76" t="e">
        <f>IF(BG237="","",VLOOKUP(BG237,S4:U53,3,0))</f>
        <v>#VALUE!</v>
      </c>
      <c r="BI237" s="8" t="str">
        <f t="shared" si="170"/>
        <v/>
      </c>
      <c r="BP237" s="71" t="e">
        <f>IF(BT237="","",BT237*10+4)</f>
        <v>#VALUE!</v>
      </c>
      <c r="BQ237" s="71" t="str">
        <f>IF(OR(COUNTBLANK(BT237)=1,ISERROR(BT237)),"",COUNT(BT4:BT237))</f>
        <v/>
      </c>
      <c r="BR237" s="7" t="e">
        <f t="shared" si="172"/>
        <v>#VALUE!</v>
      </c>
      <c r="BS237" s="1" t="str">
        <f t="shared" si="173"/>
        <v/>
      </c>
      <c r="BT237" s="79" t="e">
        <f>IF(IF(COUNTIF($BT$4:BT236,BT236)&gt;=MAX($D$4:$D$8),BT236+1,BT236)&gt;55,"",IF(COUNTIF($BT$4:BT236,BT236)&gt;=MAX($D$4:$D$8),BT236+1,BT236))</f>
        <v>#VALUE!</v>
      </c>
      <c r="BU237" s="1" t="e">
        <f t="shared" si="174"/>
        <v>#VALUE!</v>
      </c>
      <c r="BV237" s="8" t="str">
        <f t="shared" si="175"/>
        <v/>
      </c>
      <c r="BX237" s="71" t="e">
        <f t="shared" si="176"/>
        <v>#VALUE!</v>
      </c>
      <c r="BY237" s="71" t="str">
        <f>IF(OR(COUNTBLANK(CB237)=1,ISERROR(CB237)),"",COUNT($CB$4:CB237))</f>
        <v/>
      </c>
      <c r="BZ237" s="7" t="e">
        <f t="shared" si="177"/>
        <v>#VALUE!</v>
      </c>
      <c r="CA237" s="1" t="str">
        <f t="shared" si="178"/>
        <v/>
      </c>
      <c r="CB237" s="79" t="e">
        <f>IF(IF(COUNTIF($CB$4:CB236,CB235)&gt;=MAX($D$4:$D$8),CB235+2,CB235)&gt;55,"",IF(COUNTIF($CB$4:CB236,CB235)&gt;=MAX($D$4:$D$8),CB235+2,CB235))</f>
        <v>#VALUE!</v>
      </c>
      <c r="CC237" s="1" t="e">
        <f t="shared" si="179"/>
        <v>#VALUE!</v>
      </c>
      <c r="CD237" s="8" t="str">
        <f t="shared" si="180"/>
        <v/>
      </c>
      <c r="CF237" s="71" t="e">
        <f t="shared" si="193"/>
        <v>#VALUE!</v>
      </c>
      <c r="CG237" s="71" t="str">
        <f>IF(OR(COUNTBLANK(CJ237)=1,ISERROR(CJ237)),"",COUNT($CJ$4:CJ237))</f>
        <v/>
      </c>
      <c r="CH237" s="7" t="e">
        <f t="shared" si="194"/>
        <v>#VALUE!</v>
      </c>
      <c r="CI237" s="1" t="str">
        <f t="shared" si="195"/>
        <v/>
      </c>
      <c r="CJ237" s="79" t="e">
        <f>IF(IF(COUNTIF($CJ$4:CJ236,CJ234)&gt;=MAX($D$4:$D$8),CJ234+3,CJ234)&gt;55,"",IF(COUNTIF($CJ$4:CJ236,CJ234)&gt;=MAX($D$4:$D$8),CJ234+3,CJ234))</f>
        <v>#VALUE!</v>
      </c>
      <c r="CK237" s="1" t="e">
        <f t="shared" si="181"/>
        <v>#VALUE!</v>
      </c>
      <c r="CL237" s="8" t="str">
        <f t="shared" si="196"/>
        <v/>
      </c>
      <c r="CN237" s="71" t="e">
        <f t="shared" si="187"/>
        <v>#VALUE!</v>
      </c>
      <c r="CO237" s="71" t="str">
        <f>IF(OR(COUNTBLANK(CR237)=1,ISERROR(CR237)),"",COUNT($CR$4:CR237))</f>
        <v/>
      </c>
      <c r="CP237" s="7" t="e">
        <f t="shared" si="188"/>
        <v>#VALUE!</v>
      </c>
      <c r="CQ237" s="1" t="str">
        <f t="shared" si="189"/>
        <v/>
      </c>
      <c r="CR237" s="79" t="e">
        <f>IF(IF(COUNTIF($CR$4:CR236,CR233)&gt;=MAX($D$4:$D$8),CR233+4,CR233)&gt;55,"",IF(COUNTIF($CR$4:CR236,CR233)&gt;=MAX($D$4:$D$8),CR233+4,CR233))</f>
        <v>#VALUE!</v>
      </c>
      <c r="CS237" s="1" t="e">
        <f t="shared" si="182"/>
        <v>#VALUE!</v>
      </c>
      <c r="CT237" s="8" t="str">
        <f t="shared" si="190"/>
        <v/>
      </c>
      <c r="CV237" s="71" t="e">
        <f t="shared" si="197"/>
        <v>#VALUE!</v>
      </c>
      <c r="CW237" s="71" t="str">
        <f>IF(OR(COUNTBLANK(CZ237)=1,ISERROR(CZ237)),"",COUNT($CZ$4:CZ237))</f>
        <v/>
      </c>
      <c r="CX237" s="7" t="e">
        <f t="shared" si="198"/>
        <v>#VALUE!</v>
      </c>
      <c r="CY237" s="1" t="str">
        <f t="shared" si="199"/>
        <v/>
      </c>
      <c r="CZ237" s="79" t="e">
        <f>IF(IF(COUNTIF($CZ$4:CZ236,CZ232)&gt;=MAX($D$4:$D$8),CZ232+5,CZ232)&gt;55,"",IF(COUNTIF($CZ$4:CZ236,CZ232)&gt;=MAX($D$4:$D$8),CZ232+5,CZ232))</f>
        <v>#VALUE!</v>
      </c>
      <c r="DA237" s="1" t="e">
        <f t="shared" si="183"/>
        <v>#VALUE!</v>
      </c>
      <c r="DB237" s="8" t="str">
        <f t="shared" si="200"/>
        <v/>
      </c>
    </row>
    <row r="238" spans="5:106" x14ac:dyDescent="0.15">
      <c r="E238" s="1">
        <v>235</v>
      </c>
      <c r="F238" s="1">
        <f t="shared" si="184"/>
        <v>1</v>
      </c>
      <c r="G238" s="1">
        <f t="shared" si="191"/>
        <v>1</v>
      </c>
      <c r="H238" s="1">
        <f t="shared" si="185"/>
        <v>1</v>
      </c>
      <c r="I238" s="1">
        <f t="shared" si="186"/>
        <v>1</v>
      </c>
      <c r="J238" s="1">
        <f t="shared" si="192"/>
        <v>1</v>
      </c>
      <c r="L238" s="1" t="str">
        <f>IF(ISERROR(HLOOKUP($C$10,$F$3:$J$253,236,0)),"",HLOOKUP($C$10,$F$3:$J$253,236,0))</f>
        <v/>
      </c>
      <c r="N238" s="67"/>
      <c r="W238" s="71" t="e">
        <f>IF(AA238="","",AA238*10+5)</f>
        <v>#VALUE!</v>
      </c>
      <c r="X238" s="71" t="str">
        <f>IF(OR(COUNTBLANK(AA238)=1,ISERROR(AA238)),"",COUNT(AA4:AA238))</f>
        <v/>
      </c>
      <c r="Y238" s="7" t="e">
        <f t="shared" si="157"/>
        <v>#VALUE!</v>
      </c>
      <c r="Z238" s="1" t="str">
        <f t="shared" si="171"/>
        <v/>
      </c>
      <c r="AA238" s="79" t="e">
        <f>IF(IF(COUNTIF(AA4:AA237,AA237)&gt;=MAX(D4:D8),AA237+1,AA237)&gt;50,"",IF(COUNTIF(AA4:AA237,AA237)&gt;=MAX(D4:D8),AA237+1,AA237))</f>
        <v>#VALUE!</v>
      </c>
      <c r="AB238" s="1" t="e">
        <f>IF(AA238="","",VLOOKUP(AA238,S4:U53,3,0))</f>
        <v>#VALUE!</v>
      </c>
      <c r="AC238" s="8" t="str">
        <f t="shared" si="158"/>
        <v/>
      </c>
      <c r="AE238" s="71" t="e">
        <f t="shared" si="159"/>
        <v>#VALUE!</v>
      </c>
      <c r="AF238" s="71" t="str">
        <f>IF(OR(COUNTBLANK(AI238)=1,ISERROR(AI238)),"",COUNT(AI4:AI238))</f>
        <v/>
      </c>
      <c r="AG238" s="7" t="e">
        <f t="shared" si="160"/>
        <v>#VALUE!</v>
      </c>
      <c r="AH238" s="1" t="str">
        <f>IF(ISERROR(INDEX(C4:C8,MATCH(G238,D4:D8,0))),"",INDEX(C4:C8,MATCH(G238,D4:D8,0)))</f>
        <v/>
      </c>
      <c r="AI238" s="79" t="e">
        <f>IF(IF(COUNTIF(AI4:AI237,AI236)&gt;=MAX(D4:D8),AI236+2,AI236)&gt;50,"",IF(COUNTIF(AI4:AI237,AI236)&gt;=MAX(D4:D8),AI236+2,AI236))</f>
        <v>#VALUE!</v>
      </c>
      <c r="AJ238" s="1" t="e">
        <f>IF(AI238="","",VLOOKUP(AI238,S4:U53,3,0))</f>
        <v>#VALUE!</v>
      </c>
      <c r="AK238" s="8" t="str">
        <f t="shared" si="161"/>
        <v/>
      </c>
      <c r="AM238" s="71" t="e">
        <f t="shared" si="162"/>
        <v>#VALUE!</v>
      </c>
      <c r="AN238" s="71" t="str">
        <f>IF(OR(COUNTBLANK(AQ238)=1,ISERROR(AQ238)),"",COUNT(AQ4:AQ238))</f>
        <v/>
      </c>
      <c r="AO238" s="7" t="e">
        <f t="shared" si="163"/>
        <v>#VALUE!</v>
      </c>
      <c r="AP238" s="1" t="str">
        <f>IF(ISERROR(INDEX(C4:C8,MATCH(H238,D4:D8,0))),"",INDEX(C4:C8,MATCH(H238,D4:D8,0)))</f>
        <v/>
      </c>
      <c r="AQ238" s="79" t="e">
        <f>IF(IF(COUNTIF(AQ4:AQ237,AQ235)&gt;=MAX(D4:D8),AQ235+3,AQ235)&gt;50,"",IF(COUNTIF(AQ4:AQ237,AQ235)&gt;=MAX(D4:D8),AQ235+3,AQ235))</f>
        <v>#VALUE!</v>
      </c>
      <c r="AR238" s="1" t="e">
        <f>IF(AQ238="","",VLOOKUP(AQ238,S4:U53,3,0))</f>
        <v>#VALUE!</v>
      </c>
      <c r="AS238" s="8" t="str">
        <f t="shared" si="164"/>
        <v/>
      </c>
      <c r="AU238" s="71" t="e">
        <f t="shared" si="165"/>
        <v>#VALUE!</v>
      </c>
      <c r="AV238" s="71" t="str">
        <f>IF(OR(COUNTBLANK(AY238)=1,ISERROR(AY238)),"",COUNT(AY4:AY238))</f>
        <v/>
      </c>
      <c r="AW238" s="7" t="e">
        <f t="shared" si="166"/>
        <v>#VALUE!</v>
      </c>
      <c r="AX238" s="1" t="str">
        <f>IF(ISERROR(INDEX(C4:C8,MATCH(I238,D4:D8,0))),"",INDEX(C4:C8,MATCH(I238,D4:D8,0)))</f>
        <v/>
      </c>
      <c r="AY238" s="79" t="e">
        <f>IF(IF(COUNTIF(AY4:AY237,AY234)&gt;=MAX(D4:D8),AY234+4,AY234)&gt;50,"",IF(COUNTIF(AY4:AY237,AY234)&gt;=MAX(D4:D8),AY234+4,AY234))</f>
        <v>#VALUE!</v>
      </c>
      <c r="AZ238" s="76" t="e">
        <f>IF(AY238="","",VLOOKUP(AY238,S4:U53,3,0))</f>
        <v>#VALUE!</v>
      </c>
      <c r="BA238" s="8" t="str">
        <f t="shared" si="167"/>
        <v/>
      </c>
      <c r="BC238" s="71" t="e">
        <f t="shared" si="168"/>
        <v>#VALUE!</v>
      </c>
      <c r="BD238" s="71" t="str">
        <f>IF(OR(COUNTBLANK(BG238)=1,ISERROR(BG238)),"",COUNT(BG4:BG238))</f>
        <v/>
      </c>
      <c r="BE238" s="7" t="e">
        <f t="shared" si="169"/>
        <v>#VALUE!</v>
      </c>
      <c r="BF238" s="1" t="str">
        <f>IF(ISERROR(INDEX(C4:C8,MATCH(J238,D4:D8,0))),"",INDEX(C4:C8,MATCH(J238,D4:D8,0)))</f>
        <v/>
      </c>
      <c r="BG238" s="79" t="e">
        <f>IF(IF(COUNTIF(BG4:BG237,BG233)&gt;=MAX(D4:D8),BG233+5,BG233)&gt;50,"",IF(COUNTIF(BG4:BG237,BG233)&gt;=MAX(D4:D8),BG233+5,BG233))</f>
        <v>#VALUE!</v>
      </c>
      <c r="BH238" s="76" t="e">
        <f>IF(BG238="","",VLOOKUP(BG238,S4:U53,3,0))</f>
        <v>#VALUE!</v>
      </c>
      <c r="BI238" s="8" t="str">
        <f t="shared" si="170"/>
        <v/>
      </c>
      <c r="BP238" s="71" t="e">
        <f>IF(BT238="","",BT238*10+5)</f>
        <v>#VALUE!</v>
      </c>
      <c r="BQ238" s="71" t="str">
        <f>IF(OR(COUNTBLANK(BT238)=1,ISERROR(BT238)),"",COUNT(BT4:BT238))</f>
        <v/>
      </c>
      <c r="BR238" s="7" t="e">
        <f t="shared" si="172"/>
        <v>#VALUE!</v>
      </c>
      <c r="BS238" s="1" t="str">
        <f t="shared" si="173"/>
        <v/>
      </c>
      <c r="BT238" s="79" t="e">
        <f>IF(IF(COUNTIF($BT$4:BT237,BT237)&gt;=MAX($D$4:$D$8),BT237+1,BT237)&gt;55,"",IF(COUNTIF($BT$4:BT237,BT237)&gt;=MAX($D$4:$D$8),BT237+1,BT237))</f>
        <v>#VALUE!</v>
      </c>
      <c r="BU238" s="1" t="e">
        <f t="shared" si="174"/>
        <v>#VALUE!</v>
      </c>
      <c r="BV238" s="8" t="str">
        <f t="shared" si="175"/>
        <v/>
      </c>
      <c r="BX238" s="71" t="e">
        <f t="shared" si="176"/>
        <v>#VALUE!</v>
      </c>
      <c r="BY238" s="71" t="str">
        <f>IF(OR(COUNTBLANK(CB238)=1,ISERROR(CB238)),"",COUNT($CB$4:CB238))</f>
        <v/>
      </c>
      <c r="BZ238" s="7" t="e">
        <f t="shared" si="177"/>
        <v>#VALUE!</v>
      </c>
      <c r="CA238" s="1" t="str">
        <f t="shared" si="178"/>
        <v/>
      </c>
      <c r="CB238" s="79" t="e">
        <f>IF(IF(COUNTIF($CB$4:CB237,CB236)&gt;=MAX($D$4:$D$8),CB236+2,CB236)&gt;55,"",IF(COUNTIF($CB$4:CB237,CB236)&gt;=MAX($D$4:$D$8),CB236+2,CB236))</f>
        <v>#VALUE!</v>
      </c>
      <c r="CC238" s="1" t="e">
        <f t="shared" si="179"/>
        <v>#VALUE!</v>
      </c>
      <c r="CD238" s="8" t="str">
        <f t="shared" si="180"/>
        <v/>
      </c>
      <c r="CF238" s="71" t="e">
        <f t="shared" si="193"/>
        <v>#VALUE!</v>
      </c>
      <c r="CG238" s="71" t="str">
        <f>IF(OR(COUNTBLANK(CJ238)=1,ISERROR(CJ238)),"",COUNT($CJ$4:CJ238))</f>
        <v/>
      </c>
      <c r="CH238" s="7" t="e">
        <f t="shared" si="194"/>
        <v>#VALUE!</v>
      </c>
      <c r="CI238" s="1" t="str">
        <f t="shared" si="195"/>
        <v/>
      </c>
      <c r="CJ238" s="79" t="e">
        <f>IF(IF(COUNTIF($CJ$4:CJ237,CJ235)&gt;=MAX($D$4:$D$8),CJ235+3,CJ235)&gt;55,"",IF(COUNTIF($CJ$4:CJ237,CJ235)&gt;=MAX($D$4:$D$8),CJ235+3,CJ235))</f>
        <v>#VALUE!</v>
      </c>
      <c r="CK238" s="1" t="e">
        <f t="shared" si="181"/>
        <v>#VALUE!</v>
      </c>
      <c r="CL238" s="8" t="str">
        <f t="shared" si="196"/>
        <v/>
      </c>
      <c r="CN238" s="71" t="e">
        <f t="shared" si="187"/>
        <v>#VALUE!</v>
      </c>
      <c r="CO238" s="71" t="str">
        <f>IF(OR(COUNTBLANK(CR238)=1,ISERROR(CR238)),"",COUNT($CR$4:CR238))</f>
        <v/>
      </c>
      <c r="CP238" s="7" t="e">
        <f t="shared" si="188"/>
        <v>#VALUE!</v>
      </c>
      <c r="CQ238" s="1" t="str">
        <f t="shared" si="189"/>
        <v/>
      </c>
      <c r="CR238" s="79" t="e">
        <f>IF(IF(COUNTIF($CR$4:CR237,CR234)&gt;=MAX($D$4:$D$8),CR234+4,CR234)&gt;55,"",IF(COUNTIF($CR$4:CR237,CR234)&gt;=MAX($D$4:$D$8),CR234+4,CR234))</f>
        <v>#VALUE!</v>
      </c>
      <c r="CS238" s="1" t="e">
        <f t="shared" si="182"/>
        <v>#VALUE!</v>
      </c>
      <c r="CT238" s="8" t="str">
        <f t="shared" si="190"/>
        <v/>
      </c>
      <c r="CV238" s="71" t="e">
        <f t="shared" si="197"/>
        <v>#VALUE!</v>
      </c>
      <c r="CW238" s="71" t="str">
        <f>IF(OR(COUNTBLANK(CZ238)=1,ISERROR(CZ238)),"",COUNT($CZ$4:CZ238))</f>
        <v/>
      </c>
      <c r="CX238" s="7" t="e">
        <f t="shared" si="198"/>
        <v>#VALUE!</v>
      </c>
      <c r="CY238" s="1" t="str">
        <f t="shared" si="199"/>
        <v/>
      </c>
      <c r="CZ238" s="79" t="e">
        <f>IF(IF(COUNTIF($CZ$4:CZ237,CZ233)&gt;=MAX($D$4:$D$8),CZ233+5,CZ233)&gt;55,"",IF(COUNTIF($CZ$4:CZ237,CZ233)&gt;=MAX($D$4:$D$8),CZ233+5,CZ233))</f>
        <v>#VALUE!</v>
      </c>
      <c r="DA238" s="1" t="e">
        <f t="shared" si="183"/>
        <v>#VALUE!</v>
      </c>
      <c r="DB238" s="8" t="str">
        <f t="shared" si="200"/>
        <v/>
      </c>
    </row>
    <row r="239" spans="5:106" x14ac:dyDescent="0.15">
      <c r="E239" s="1">
        <v>236</v>
      </c>
      <c r="F239" s="1">
        <f t="shared" si="184"/>
        <v>1</v>
      </c>
      <c r="G239" s="1">
        <f t="shared" si="191"/>
        <v>1</v>
      </c>
      <c r="H239" s="1">
        <f t="shared" si="185"/>
        <v>1</v>
      </c>
      <c r="I239" s="1">
        <f t="shared" si="186"/>
        <v>1</v>
      </c>
      <c r="J239" s="1">
        <f t="shared" si="192"/>
        <v>1</v>
      </c>
      <c r="L239" s="1" t="str">
        <f>IF(ISERROR(HLOOKUP($C$10,$F$3:$J$253,237,0)),"",HLOOKUP($C$10,$F$3:$J$253,237,0))</f>
        <v/>
      </c>
      <c r="N239" s="67"/>
      <c r="W239" s="71" t="e">
        <f>IF(AA239="","",AA239*10+1)</f>
        <v>#VALUE!</v>
      </c>
      <c r="X239" s="71" t="str">
        <f>IF(OR(COUNTBLANK(AA239)=1,ISERROR(AA239)),"",COUNT(AA4:AA239))</f>
        <v/>
      </c>
      <c r="Y239" s="7" t="e">
        <f t="shared" si="157"/>
        <v>#VALUE!</v>
      </c>
      <c r="Z239" s="1" t="str">
        <f t="shared" si="171"/>
        <v/>
      </c>
      <c r="AA239" s="79" t="e">
        <f>IF(IF(COUNTIF(AA4:AA238,AA238)&gt;=MAX(D4:D8),AA238+1,AA238)&gt;50,"",IF(COUNTIF(AA4:AA238,AA238)&gt;=MAX(D4:D8),AA238+1,AA238))</f>
        <v>#VALUE!</v>
      </c>
      <c r="AB239" s="1" t="e">
        <f>IF(AA239="","",VLOOKUP(AA239,S4:U53,3,0))</f>
        <v>#VALUE!</v>
      </c>
      <c r="AC239" s="8" t="str">
        <f t="shared" si="158"/>
        <v/>
      </c>
      <c r="AE239" s="71" t="e">
        <f t="shared" si="159"/>
        <v>#VALUE!</v>
      </c>
      <c r="AF239" s="71" t="str">
        <f>IF(OR(COUNTBLANK(AI239)=1,ISERROR(AI239)),"",COUNT(AI4:AI239))</f>
        <v/>
      </c>
      <c r="AG239" s="7" t="e">
        <f t="shared" si="160"/>
        <v>#VALUE!</v>
      </c>
      <c r="AH239" s="1" t="str">
        <f>IF(ISERROR(INDEX(C4:C8,MATCH(G239,D4:D8,0))),"",INDEX(C4:C8,MATCH(G239,D4:D8,0)))</f>
        <v/>
      </c>
      <c r="AI239" s="79" t="e">
        <f>IF(IF(COUNTIF(AI4:AI237,AI237)&gt;=MAX(D4:D8),AI237+2,AI237)&gt;50,"",IF(COUNTIF(AI4:AI237,AI237)&gt;=MAX(D4:D8),AI237+2,AI237))</f>
        <v>#VALUE!</v>
      </c>
      <c r="AJ239" s="1" t="e">
        <f>IF(AI239="","",VLOOKUP(AI239,S4:U53,3,0))</f>
        <v>#VALUE!</v>
      </c>
      <c r="AK239" s="8" t="str">
        <f t="shared" si="161"/>
        <v/>
      </c>
      <c r="AM239" s="71" t="e">
        <f t="shared" si="162"/>
        <v>#VALUE!</v>
      </c>
      <c r="AN239" s="71" t="str">
        <f>IF(OR(COUNTBLANK(AQ239)=1,ISERROR(AQ239)),"",COUNT(AQ4:AQ239))</f>
        <v/>
      </c>
      <c r="AO239" s="7" t="e">
        <f t="shared" si="163"/>
        <v>#VALUE!</v>
      </c>
      <c r="AP239" s="1" t="str">
        <f>IF(ISERROR(INDEX(C4:C8,MATCH(H239,D4:D8,0))),"",INDEX(C4:C8,MATCH(H239,D4:D8,0)))</f>
        <v/>
      </c>
      <c r="AQ239" s="79" t="e">
        <f>IF(IF(COUNTIF(AQ4:AQ238,AQ236)&gt;=MAX(D4:D8),AQ236+3,AQ236)&gt;50,"",IF(COUNTIF(AQ4:AQ238,AQ236)&gt;=MAX(D4:D8),AQ236+3,AQ236))</f>
        <v>#VALUE!</v>
      </c>
      <c r="AR239" s="1" t="e">
        <f>IF(AQ239="","",VLOOKUP(AQ239,S4:U53,3,0))</f>
        <v>#VALUE!</v>
      </c>
      <c r="AS239" s="8" t="str">
        <f t="shared" si="164"/>
        <v/>
      </c>
      <c r="AU239" s="71" t="e">
        <f t="shared" si="165"/>
        <v>#VALUE!</v>
      </c>
      <c r="AV239" s="71" t="str">
        <f>IF(OR(COUNTBLANK(AY239)=1,ISERROR(AY239)),"",COUNT(AY4:AY239))</f>
        <v/>
      </c>
      <c r="AW239" s="7" t="e">
        <f t="shared" si="166"/>
        <v>#VALUE!</v>
      </c>
      <c r="AX239" s="1" t="str">
        <f>IF(ISERROR(INDEX(C4:C8,MATCH(I239,D4:D8,0))),"",INDEX(C4:C8,MATCH(I239,D4:D8,0)))</f>
        <v/>
      </c>
      <c r="AY239" s="79" t="e">
        <f>IF(IF(COUNTIF(AY4:AY238,AY235)&gt;=MAX(D4:D8),AY235+4,AY235)&gt;50,"",IF(COUNTIF(AY4:AY238,AY235)&gt;=MAX(D4:D8),AY235+4,AY235))</f>
        <v>#VALUE!</v>
      </c>
      <c r="AZ239" s="76" t="e">
        <f>IF(AY239="","",VLOOKUP(AY239,S4:U53,3,0))</f>
        <v>#VALUE!</v>
      </c>
      <c r="BA239" s="8" t="str">
        <f t="shared" si="167"/>
        <v/>
      </c>
      <c r="BC239" s="71" t="e">
        <f t="shared" si="168"/>
        <v>#VALUE!</v>
      </c>
      <c r="BD239" s="71" t="str">
        <f>IF(OR(COUNTBLANK(BG239)=1,ISERROR(BG239)),"",COUNT(BG4:BG239))</f>
        <v/>
      </c>
      <c r="BE239" s="7" t="e">
        <f t="shared" si="169"/>
        <v>#VALUE!</v>
      </c>
      <c r="BF239" s="1" t="str">
        <f>IF(ISERROR(INDEX(C4:C8,MATCH(J239,D4:D8,0))),"",INDEX(C4:C8,MATCH(J239,D4:D8,0)))</f>
        <v/>
      </c>
      <c r="BG239" s="79" t="e">
        <f>IF(IF(COUNTIF(BG4:BG238,BG234)&gt;=MAX(D4:D8),BG234+5,BG234)&gt;50,"",IF(COUNTIF(BG4:BG238,BG234)&gt;=MAX(D4:D8),BG234+5,BG234))</f>
        <v>#VALUE!</v>
      </c>
      <c r="BH239" s="76" t="e">
        <f>IF(BG239="","",VLOOKUP(BG239,S4:U53,3,0))</f>
        <v>#VALUE!</v>
      </c>
      <c r="BI239" s="8" t="str">
        <f t="shared" si="170"/>
        <v/>
      </c>
      <c r="BP239" s="71" t="e">
        <f>IF(BT239="","",BT239*10+1)</f>
        <v>#VALUE!</v>
      </c>
      <c r="BQ239" s="71" t="str">
        <f>IF(OR(COUNTBLANK(BT239)=1,ISERROR(BT239)),"",COUNT(BT4:BT239))</f>
        <v/>
      </c>
      <c r="BR239" s="7" t="e">
        <f t="shared" si="172"/>
        <v>#VALUE!</v>
      </c>
      <c r="BS239" s="1" t="str">
        <f t="shared" si="173"/>
        <v/>
      </c>
      <c r="BT239" s="79" t="e">
        <f>IF(IF(COUNTIF($BT$4:BT238,BT238)&gt;=MAX($D$4:$D$8),BT238+1,BT238)&gt;55,"",IF(COUNTIF($BT$4:BT238,BT238)&gt;=MAX($D$4:$D$8),BT238+1,BT238))</f>
        <v>#VALUE!</v>
      </c>
      <c r="BU239" s="1" t="e">
        <f t="shared" si="174"/>
        <v>#VALUE!</v>
      </c>
      <c r="BV239" s="8" t="str">
        <f t="shared" si="175"/>
        <v/>
      </c>
      <c r="BX239" s="71" t="e">
        <f t="shared" si="176"/>
        <v>#VALUE!</v>
      </c>
      <c r="BY239" s="71" t="str">
        <f>IF(OR(COUNTBLANK(CB239)=1,ISERROR(CB239)),"",COUNT($CB$4:CB239))</f>
        <v/>
      </c>
      <c r="BZ239" s="7" t="e">
        <f t="shared" si="177"/>
        <v>#VALUE!</v>
      </c>
      <c r="CA239" s="1" t="str">
        <f t="shared" si="178"/>
        <v/>
      </c>
      <c r="CB239" s="79" t="e">
        <f>IF(IF(COUNTIF($CB$4:CB238,CB237)&gt;=MAX($D$4:$D$8),CB237+2,CB237)&gt;55,"",IF(COUNTIF($CB$4:CB238,CB237)&gt;=MAX($D$4:$D$8),CB237+2,CB237))</f>
        <v>#VALUE!</v>
      </c>
      <c r="CC239" s="1" t="e">
        <f t="shared" si="179"/>
        <v>#VALUE!</v>
      </c>
      <c r="CD239" s="8" t="str">
        <f t="shared" si="180"/>
        <v/>
      </c>
      <c r="CF239" s="71" t="e">
        <f t="shared" si="193"/>
        <v>#VALUE!</v>
      </c>
      <c r="CG239" s="71" t="str">
        <f>IF(OR(COUNTBLANK(CJ239)=1,ISERROR(CJ239)),"",COUNT($CJ$4:CJ239))</f>
        <v/>
      </c>
      <c r="CH239" s="7" t="e">
        <f t="shared" si="194"/>
        <v>#VALUE!</v>
      </c>
      <c r="CI239" s="1" t="str">
        <f t="shared" si="195"/>
        <v/>
      </c>
      <c r="CJ239" s="79" t="e">
        <f>IF(IF(COUNTIF($CJ$4:CJ238,CJ236)&gt;=MAX($D$4:$D$8),CJ236+3,CJ236)&gt;55,"",IF(COUNTIF($CJ$4:CJ238,CJ236)&gt;=MAX($D$4:$D$8),CJ236+3,CJ236))</f>
        <v>#VALUE!</v>
      </c>
      <c r="CK239" s="1" t="e">
        <f t="shared" si="181"/>
        <v>#VALUE!</v>
      </c>
      <c r="CL239" s="8" t="str">
        <f t="shared" si="196"/>
        <v/>
      </c>
      <c r="CN239" s="71" t="e">
        <f t="shared" si="187"/>
        <v>#VALUE!</v>
      </c>
      <c r="CO239" s="71" t="str">
        <f>IF(OR(COUNTBLANK(CR239)=1,ISERROR(CR239)),"",COUNT($CR$4:CR239))</f>
        <v/>
      </c>
      <c r="CP239" s="7" t="e">
        <f t="shared" si="188"/>
        <v>#VALUE!</v>
      </c>
      <c r="CQ239" s="1" t="str">
        <f t="shared" si="189"/>
        <v/>
      </c>
      <c r="CR239" s="79" t="e">
        <f>IF(IF(COUNTIF($CR$4:CR238,CR235)&gt;=MAX($D$4:$D$8),CR235+4,CR235)&gt;55,"",IF(COUNTIF($CR$4:CR238,CR235)&gt;=MAX($D$4:$D$8),CR235+4,CR235))</f>
        <v>#VALUE!</v>
      </c>
      <c r="CS239" s="1" t="e">
        <f t="shared" si="182"/>
        <v>#VALUE!</v>
      </c>
      <c r="CT239" s="8" t="str">
        <f t="shared" si="190"/>
        <v/>
      </c>
      <c r="CV239" s="71" t="e">
        <f t="shared" si="197"/>
        <v>#VALUE!</v>
      </c>
      <c r="CW239" s="71" t="str">
        <f>IF(OR(COUNTBLANK(CZ239)=1,ISERROR(CZ239)),"",COUNT($CZ$4:CZ239))</f>
        <v/>
      </c>
      <c r="CX239" s="7" t="e">
        <f t="shared" si="198"/>
        <v>#VALUE!</v>
      </c>
      <c r="CY239" s="1" t="str">
        <f t="shared" si="199"/>
        <v/>
      </c>
      <c r="CZ239" s="79" t="e">
        <f>IF(IF(COUNTIF($CZ$4:CZ238,CZ234)&gt;=MAX($D$4:$D$8),CZ234+5,CZ234)&gt;55,"",IF(COUNTIF($CZ$4:CZ238,CZ234)&gt;=MAX($D$4:$D$8),CZ234+5,CZ234))</f>
        <v>#VALUE!</v>
      </c>
      <c r="DA239" s="1" t="e">
        <f t="shared" si="183"/>
        <v>#VALUE!</v>
      </c>
      <c r="DB239" s="8" t="str">
        <f t="shared" si="200"/>
        <v/>
      </c>
    </row>
    <row r="240" spans="5:106" x14ac:dyDescent="0.15">
      <c r="E240" s="1">
        <v>237</v>
      </c>
      <c r="F240" s="1">
        <f t="shared" si="184"/>
        <v>1</v>
      </c>
      <c r="G240" s="1">
        <f t="shared" si="191"/>
        <v>1</v>
      </c>
      <c r="H240" s="1">
        <f t="shared" si="185"/>
        <v>1</v>
      </c>
      <c r="I240" s="1">
        <f t="shared" si="186"/>
        <v>1</v>
      </c>
      <c r="J240" s="1">
        <f t="shared" si="192"/>
        <v>1</v>
      </c>
      <c r="L240" s="1" t="str">
        <f>IF(ISERROR(HLOOKUP($C$10,$F$3:$J$253,238,0)),"",HLOOKUP($C$10,$F$3:$J$253,238,0))</f>
        <v/>
      </c>
      <c r="N240" s="67"/>
      <c r="W240" s="71" t="e">
        <f>IF(AA240="","",AA240*10+2)</f>
        <v>#VALUE!</v>
      </c>
      <c r="X240" s="71" t="str">
        <f>IF(OR(COUNTBLANK(AA240)=1,ISERROR(AA240)),"",COUNT(AA4:AA240))</f>
        <v/>
      </c>
      <c r="Y240" s="7" t="e">
        <f t="shared" si="157"/>
        <v>#VALUE!</v>
      </c>
      <c r="Z240" s="1" t="str">
        <f t="shared" si="171"/>
        <v/>
      </c>
      <c r="AA240" s="79" t="e">
        <f>IF(IF(COUNTIF(AA4:AA239,AA239)&gt;=MAX(D4:D8),AA239+1,AA239)&gt;50,"",IF(COUNTIF(AA4:AA239,AA239)&gt;=MAX(D4:D8),AA239+1,AA239))</f>
        <v>#VALUE!</v>
      </c>
      <c r="AB240" s="1" t="e">
        <f>IF(AA240="","",VLOOKUP(AA240,S4:U53,3,0))</f>
        <v>#VALUE!</v>
      </c>
      <c r="AC240" s="8" t="str">
        <f t="shared" si="158"/>
        <v/>
      </c>
      <c r="AE240" s="71" t="e">
        <f t="shared" si="159"/>
        <v>#VALUE!</v>
      </c>
      <c r="AF240" s="71" t="str">
        <f>IF(OR(COUNTBLANK(AI240)=1,ISERROR(AI240)),"",COUNT(AI4:AI240))</f>
        <v/>
      </c>
      <c r="AG240" s="7" t="e">
        <f t="shared" si="160"/>
        <v>#VALUE!</v>
      </c>
      <c r="AH240" s="1" t="str">
        <f>IF(ISERROR(INDEX(C4:C8,MATCH(G240,D4:D8,0))),"",INDEX(C4:C8,MATCH(G240,D4:D8,0)))</f>
        <v/>
      </c>
      <c r="AI240" s="79" t="e">
        <f>IF(IF(COUNTIF(AI4:AI239,AI238)&gt;=MAX(D4:D8),AI238+2,AI238)&gt;50,"",IF(COUNTIF(AI4:AI239,AI238)&gt;=MAX(D4:D8),AI238+2,AI238))</f>
        <v>#VALUE!</v>
      </c>
      <c r="AJ240" s="1" t="e">
        <f>IF(AI240="","",VLOOKUP(AI240,S4:U53,3,0))</f>
        <v>#VALUE!</v>
      </c>
      <c r="AK240" s="8" t="str">
        <f t="shared" si="161"/>
        <v/>
      </c>
      <c r="AM240" s="71" t="e">
        <f t="shared" si="162"/>
        <v>#VALUE!</v>
      </c>
      <c r="AN240" s="71" t="str">
        <f>IF(OR(COUNTBLANK(AQ240)=1,ISERROR(AQ240)),"",COUNT(AQ4:AQ240))</f>
        <v/>
      </c>
      <c r="AO240" s="7" t="e">
        <f t="shared" si="163"/>
        <v>#VALUE!</v>
      </c>
      <c r="AP240" s="1" t="str">
        <f>IF(ISERROR(INDEX(C4:C8,MATCH(H240,D4:D8,0))),"",INDEX(C4:C8,MATCH(H240,D4:D8,0)))</f>
        <v/>
      </c>
      <c r="AQ240" s="79" t="e">
        <f>IF(IF(COUNTIF(AQ4:AQ239,AQ237)&gt;=MAX(D4:D8),AQ237+3,AQ237)&gt;50,"",IF(COUNTIF(AQ4:AQ239,AQ237)&gt;=MAX(D4:D8),AQ237+3,AQ237))</f>
        <v>#VALUE!</v>
      </c>
      <c r="AR240" s="1" t="e">
        <f>IF(AQ240="","",VLOOKUP(AQ240,S4:U53,3,0))</f>
        <v>#VALUE!</v>
      </c>
      <c r="AS240" s="8" t="str">
        <f t="shared" si="164"/>
        <v/>
      </c>
      <c r="AU240" s="71" t="e">
        <f t="shared" si="165"/>
        <v>#VALUE!</v>
      </c>
      <c r="AV240" s="71" t="str">
        <f>IF(OR(COUNTBLANK(AY240)=1,ISERROR(AY240)),"",COUNT(AY4:AY240))</f>
        <v/>
      </c>
      <c r="AW240" s="7" t="e">
        <f t="shared" si="166"/>
        <v>#VALUE!</v>
      </c>
      <c r="AX240" s="1" t="str">
        <f>IF(ISERROR(INDEX(C4:C8,MATCH(I240,D4:D8,0))),"",INDEX(C4:C8,MATCH(I240,D4:D8,0)))</f>
        <v/>
      </c>
      <c r="AY240" s="79" t="e">
        <f>IF(IF(COUNTIF(AY4:AY239,AY236)&gt;=MAX(D4:D8),AY236+4,AY236)&gt;50,"",IF(COUNTIF(AY4:AY239,AY236)&gt;=MAX(D4:D8),AY236+4,AY236))</f>
        <v>#VALUE!</v>
      </c>
      <c r="AZ240" s="76" t="e">
        <f>IF(AY240="","",VLOOKUP(AY240,S4:U53,3,0))</f>
        <v>#VALUE!</v>
      </c>
      <c r="BA240" s="8" t="str">
        <f t="shared" si="167"/>
        <v/>
      </c>
      <c r="BC240" s="71" t="e">
        <f t="shared" si="168"/>
        <v>#VALUE!</v>
      </c>
      <c r="BD240" s="71" t="str">
        <f>IF(OR(COUNTBLANK(BG240)=1,ISERROR(BG240)),"",COUNT(BG4:BG240))</f>
        <v/>
      </c>
      <c r="BE240" s="7" t="e">
        <f t="shared" si="169"/>
        <v>#VALUE!</v>
      </c>
      <c r="BF240" s="1" t="str">
        <f>IF(ISERROR(INDEX(C4:C8,MATCH(J240,D4:D8,0))),"",INDEX(C4:C8,MATCH(J240,D4:D8,0)))</f>
        <v/>
      </c>
      <c r="BG240" s="79" t="e">
        <f>IF(IF(COUNTIF(BG4:BG239,BG235)&gt;=MAX(D4:D8),BG235+5,BG235)&gt;50,"",IF(COUNTIF(BG4:BG239,BG235)&gt;=MAX(D4:D8),BG235+5,BG235))</f>
        <v>#VALUE!</v>
      </c>
      <c r="BH240" s="76" t="e">
        <f>IF(BG240="","",VLOOKUP(BG240,S4:U53,3,0))</f>
        <v>#VALUE!</v>
      </c>
      <c r="BI240" s="8" t="str">
        <f t="shared" si="170"/>
        <v/>
      </c>
      <c r="BP240" s="71" t="e">
        <f>IF(BT240="","",BT240*10+2)</f>
        <v>#VALUE!</v>
      </c>
      <c r="BQ240" s="71" t="str">
        <f>IF(OR(COUNTBLANK(BT240)=1,ISERROR(BT240)),"",COUNT(BT4:BT240))</f>
        <v/>
      </c>
      <c r="BR240" s="7" t="e">
        <f t="shared" si="172"/>
        <v>#VALUE!</v>
      </c>
      <c r="BS240" s="1" t="str">
        <f t="shared" si="173"/>
        <v/>
      </c>
      <c r="BT240" s="79" t="e">
        <f>IF(IF(COUNTIF($BT$4:BT239,BT239)&gt;=MAX($D$4:$D$8),BT239+1,BT239)&gt;55,"",IF(COUNTIF($BT$4:BT239,BT239)&gt;=MAX($D$4:$D$8),BT239+1,BT239))</f>
        <v>#VALUE!</v>
      </c>
      <c r="BU240" s="1" t="e">
        <f t="shared" si="174"/>
        <v>#VALUE!</v>
      </c>
      <c r="BV240" s="8" t="str">
        <f t="shared" si="175"/>
        <v/>
      </c>
      <c r="BX240" s="71" t="e">
        <f t="shared" si="176"/>
        <v>#VALUE!</v>
      </c>
      <c r="BY240" s="71" t="str">
        <f>IF(OR(COUNTBLANK(CB240)=1,ISERROR(CB240)),"",COUNT($CB$4:CB240))</f>
        <v/>
      </c>
      <c r="BZ240" s="7" t="e">
        <f t="shared" si="177"/>
        <v>#VALUE!</v>
      </c>
      <c r="CA240" s="1" t="str">
        <f t="shared" si="178"/>
        <v/>
      </c>
      <c r="CB240" s="79" t="e">
        <f>IF(IF(COUNTIF($CB$4:CB239,CB238)&gt;=MAX($D$4:$D$8),CB238+2,CB238)&gt;55,"",IF(COUNTIF($CB$4:CB239,CB238)&gt;=MAX($D$4:$D$8),CB238+2,CB238))</f>
        <v>#VALUE!</v>
      </c>
      <c r="CC240" s="1" t="e">
        <f t="shared" si="179"/>
        <v>#VALUE!</v>
      </c>
      <c r="CD240" s="8" t="str">
        <f t="shared" si="180"/>
        <v/>
      </c>
      <c r="CF240" s="71" t="e">
        <f t="shared" si="193"/>
        <v>#VALUE!</v>
      </c>
      <c r="CG240" s="71" t="str">
        <f>IF(OR(COUNTBLANK(CJ240)=1,ISERROR(CJ240)),"",COUNT($CJ$4:CJ240))</f>
        <v/>
      </c>
      <c r="CH240" s="7" t="e">
        <f t="shared" si="194"/>
        <v>#VALUE!</v>
      </c>
      <c r="CI240" s="1" t="str">
        <f t="shared" si="195"/>
        <v/>
      </c>
      <c r="CJ240" s="79" t="e">
        <f>IF(IF(COUNTIF($CJ$4:CJ239,CJ237)&gt;=MAX($D$4:$D$8),CJ237+3,CJ237)&gt;55,"",IF(COUNTIF($CJ$4:CJ239,CJ237)&gt;=MAX($D$4:$D$8),CJ237+3,CJ237))</f>
        <v>#VALUE!</v>
      </c>
      <c r="CK240" s="1" t="e">
        <f t="shared" si="181"/>
        <v>#VALUE!</v>
      </c>
      <c r="CL240" s="8" t="str">
        <f t="shared" si="196"/>
        <v/>
      </c>
      <c r="CN240" s="71" t="e">
        <f t="shared" si="187"/>
        <v>#VALUE!</v>
      </c>
      <c r="CO240" s="71" t="str">
        <f>IF(OR(COUNTBLANK(CR240)=1,ISERROR(CR240)),"",COUNT($CR$4:CR240))</f>
        <v/>
      </c>
      <c r="CP240" s="7" t="e">
        <f t="shared" si="188"/>
        <v>#VALUE!</v>
      </c>
      <c r="CQ240" s="1" t="str">
        <f t="shared" si="189"/>
        <v/>
      </c>
      <c r="CR240" s="79" t="e">
        <f>IF(IF(COUNTIF($CR$4:CR239,CR236)&gt;=MAX($D$4:$D$8),CR236+4,CR236)&gt;55,"",IF(COUNTIF($CR$4:CR239,CR236)&gt;=MAX($D$4:$D$8),CR236+4,CR236))</f>
        <v>#VALUE!</v>
      </c>
      <c r="CS240" s="1" t="e">
        <f t="shared" si="182"/>
        <v>#VALUE!</v>
      </c>
      <c r="CT240" s="8" t="str">
        <f t="shared" si="190"/>
        <v/>
      </c>
      <c r="CV240" s="71" t="e">
        <f t="shared" si="197"/>
        <v>#VALUE!</v>
      </c>
      <c r="CW240" s="71" t="str">
        <f>IF(OR(COUNTBLANK(CZ240)=1,ISERROR(CZ240)),"",COUNT($CZ$4:CZ240))</f>
        <v/>
      </c>
      <c r="CX240" s="7" t="e">
        <f t="shared" si="198"/>
        <v>#VALUE!</v>
      </c>
      <c r="CY240" s="1" t="str">
        <f t="shared" si="199"/>
        <v/>
      </c>
      <c r="CZ240" s="79" t="e">
        <f>IF(IF(COUNTIF($CZ$4:CZ239,CZ235)&gt;=MAX($D$4:$D$8),CZ235+5,CZ235)&gt;55,"",IF(COUNTIF($CZ$4:CZ239,CZ235)&gt;=MAX($D$4:$D$8),CZ235+5,CZ235))</f>
        <v>#VALUE!</v>
      </c>
      <c r="DA240" s="1" t="e">
        <f t="shared" si="183"/>
        <v>#VALUE!</v>
      </c>
      <c r="DB240" s="8" t="str">
        <f t="shared" si="200"/>
        <v/>
      </c>
    </row>
    <row r="241" spans="5:106" x14ac:dyDescent="0.15">
      <c r="E241" s="1">
        <v>238</v>
      </c>
      <c r="F241" s="1">
        <f t="shared" si="184"/>
        <v>1</v>
      </c>
      <c r="G241" s="1">
        <f t="shared" si="191"/>
        <v>1</v>
      </c>
      <c r="H241" s="1">
        <f t="shared" si="185"/>
        <v>1</v>
      </c>
      <c r="I241" s="1">
        <f t="shared" si="186"/>
        <v>1</v>
      </c>
      <c r="J241" s="1">
        <f t="shared" si="192"/>
        <v>1</v>
      </c>
      <c r="L241" s="1" t="str">
        <f>IF(ISERROR(HLOOKUP($C$10,$F$3:$J$253,239,0)),"",HLOOKUP($C$10,$F$3:$J$253,239,0))</f>
        <v/>
      </c>
      <c r="N241" s="67"/>
      <c r="W241" s="71" t="e">
        <f>IF(AA241="","",AA241*10+3)</f>
        <v>#VALUE!</v>
      </c>
      <c r="X241" s="71" t="str">
        <f>IF(OR(COUNTBLANK(AA241)=1,ISERROR(AA241)),"",COUNT(AA4:AA241))</f>
        <v/>
      </c>
      <c r="Y241" s="7" t="e">
        <f t="shared" si="157"/>
        <v>#VALUE!</v>
      </c>
      <c r="Z241" s="1" t="str">
        <f t="shared" si="171"/>
        <v/>
      </c>
      <c r="AA241" s="79" t="e">
        <f>IF(IF(COUNTIF(AA4:AA240,AA240)&gt;=MAX(D4:D8),AA240+1,AA240)&gt;50,"",IF(COUNTIF(AA4:AA240,AA240)&gt;=MAX(D4:D8),AA240+1,AA240))</f>
        <v>#VALUE!</v>
      </c>
      <c r="AB241" s="1" t="e">
        <f>IF(AA241="","",VLOOKUP(AA241,S4:U53,3,0))</f>
        <v>#VALUE!</v>
      </c>
      <c r="AC241" s="8" t="str">
        <f t="shared" si="158"/>
        <v/>
      </c>
      <c r="AE241" s="71" t="e">
        <f t="shared" si="159"/>
        <v>#VALUE!</v>
      </c>
      <c r="AF241" s="71" t="str">
        <f>IF(OR(COUNTBLANK(AI241)=1,ISERROR(AI241)),"",COUNT(AI4:AI241))</f>
        <v/>
      </c>
      <c r="AG241" s="7" t="e">
        <f t="shared" si="160"/>
        <v>#VALUE!</v>
      </c>
      <c r="AH241" s="1" t="str">
        <f>IF(ISERROR(INDEX(C4:C8,MATCH(G241,D4:D8,0))),"",INDEX(C4:C8,MATCH(G241,D4:D8,0)))</f>
        <v/>
      </c>
      <c r="AI241" s="79" t="e">
        <f>IF(IF(COUNTIF(AI4:AI239,AI239)&gt;=MAX(D4:D8),AI239+2,AI239)&gt;50,"",IF(COUNTIF(AI4:AI239,AI239)&gt;=MAX(D4:D8),AI239+2,AI239))</f>
        <v>#VALUE!</v>
      </c>
      <c r="AJ241" s="1" t="e">
        <f>IF(AI241="","",VLOOKUP(AI241,S4:U53,3,0))</f>
        <v>#VALUE!</v>
      </c>
      <c r="AK241" s="8" t="str">
        <f t="shared" si="161"/>
        <v/>
      </c>
      <c r="AM241" s="71" t="e">
        <f t="shared" si="162"/>
        <v>#VALUE!</v>
      </c>
      <c r="AN241" s="71" t="str">
        <f>IF(OR(COUNTBLANK(AQ241)=1,ISERROR(AQ241)),"",COUNT(AQ4:AQ241))</f>
        <v/>
      </c>
      <c r="AO241" s="7" t="e">
        <f t="shared" si="163"/>
        <v>#VALUE!</v>
      </c>
      <c r="AP241" s="1" t="str">
        <f>IF(ISERROR(INDEX(C4:C8,MATCH(H241,D4:D8,0))),"",INDEX(C4:C8,MATCH(H241,D4:D8,0)))</f>
        <v/>
      </c>
      <c r="AQ241" s="79" t="e">
        <f>IF(IF(COUNTIF(AQ4:AQ240,AQ238)&gt;=MAX(D4:D8),AQ238+3,AQ238)&gt;50,"",IF(COUNTIF(AQ4:AQ240,AQ238)&gt;=MAX(D4:D8),AQ238+3,AQ238))</f>
        <v>#VALUE!</v>
      </c>
      <c r="AR241" s="1" t="e">
        <f>IF(AQ241="","",VLOOKUP(AQ241,S4:U53,3,0))</f>
        <v>#VALUE!</v>
      </c>
      <c r="AS241" s="8" t="str">
        <f t="shared" si="164"/>
        <v/>
      </c>
      <c r="AU241" s="71" t="e">
        <f t="shared" si="165"/>
        <v>#VALUE!</v>
      </c>
      <c r="AV241" s="71" t="str">
        <f>IF(OR(COUNTBLANK(AY241)=1,ISERROR(AY241)),"",COUNT(AY4:AY241))</f>
        <v/>
      </c>
      <c r="AW241" s="7" t="e">
        <f t="shared" si="166"/>
        <v>#VALUE!</v>
      </c>
      <c r="AX241" s="1" t="str">
        <f>IF(ISERROR(INDEX(C4:C8,MATCH(I241,D4:D8,0))),"",INDEX(C4:C8,MATCH(I241,D4:D8,0)))</f>
        <v/>
      </c>
      <c r="AY241" s="79" t="e">
        <f>IF(IF(COUNTIF(AY4:AY240,AY237)&gt;=MAX(D4:D8),AY237+4,AY237)&gt;50,"",IF(COUNTIF(AY4:AY240,AY237)&gt;=MAX(D4:D8),AY237+4,AY237))</f>
        <v>#VALUE!</v>
      </c>
      <c r="AZ241" s="76" t="e">
        <f>IF(AY241="","",VLOOKUP(AY241,S4:U53,3,0))</f>
        <v>#VALUE!</v>
      </c>
      <c r="BA241" s="8" t="str">
        <f t="shared" si="167"/>
        <v/>
      </c>
      <c r="BC241" s="71" t="e">
        <f t="shared" si="168"/>
        <v>#VALUE!</v>
      </c>
      <c r="BD241" s="71" t="str">
        <f>IF(OR(COUNTBLANK(BG241)=1,ISERROR(BG241)),"",COUNT(BG4:BG241))</f>
        <v/>
      </c>
      <c r="BE241" s="7" t="e">
        <f t="shared" si="169"/>
        <v>#VALUE!</v>
      </c>
      <c r="BF241" s="1" t="str">
        <f>IF(ISERROR(INDEX(C4:C8,MATCH(J241,D4:D8,0))),"",INDEX(C4:C8,MATCH(J241,D4:D8,0)))</f>
        <v/>
      </c>
      <c r="BG241" s="79" t="e">
        <f>IF(IF(COUNTIF(BG4:BG240,BG236)&gt;=MAX(D4:D8),BG236+5,BG236)&gt;50,"",IF(COUNTIF(BG4:BG240,BG236)&gt;=MAX(D4:D8),BG236+5,BG236))</f>
        <v>#VALUE!</v>
      </c>
      <c r="BH241" s="76" t="e">
        <f>IF(BG241="","",VLOOKUP(BG241,S4:U53,3,0))</f>
        <v>#VALUE!</v>
      </c>
      <c r="BI241" s="8" t="str">
        <f t="shared" si="170"/>
        <v/>
      </c>
      <c r="BP241" s="71" t="e">
        <f>IF(BT241="","",BT241*10+3)</f>
        <v>#VALUE!</v>
      </c>
      <c r="BQ241" s="71" t="str">
        <f>IF(OR(COUNTBLANK(BT241)=1,ISERROR(BT241)),"",COUNT(BT4:BT241))</f>
        <v/>
      </c>
      <c r="BR241" s="7" t="e">
        <f t="shared" si="172"/>
        <v>#VALUE!</v>
      </c>
      <c r="BS241" s="1" t="str">
        <f t="shared" si="173"/>
        <v/>
      </c>
      <c r="BT241" s="79" t="e">
        <f>IF(IF(COUNTIF($BT$4:BT240,BT240)&gt;=MAX($D$4:$D$8),BT240+1,BT240)&gt;55,"",IF(COUNTIF($BT$4:BT240,BT240)&gt;=MAX($D$4:$D$8),BT240+1,BT240))</f>
        <v>#VALUE!</v>
      </c>
      <c r="BU241" s="1" t="e">
        <f t="shared" si="174"/>
        <v>#VALUE!</v>
      </c>
      <c r="BV241" s="8" t="str">
        <f t="shared" si="175"/>
        <v/>
      </c>
      <c r="BX241" s="71" t="e">
        <f t="shared" si="176"/>
        <v>#VALUE!</v>
      </c>
      <c r="BY241" s="71" t="str">
        <f>IF(OR(COUNTBLANK(CB241)=1,ISERROR(CB241)),"",COUNT($CB$4:CB241))</f>
        <v/>
      </c>
      <c r="BZ241" s="7" t="e">
        <f t="shared" si="177"/>
        <v>#VALUE!</v>
      </c>
      <c r="CA241" s="1" t="str">
        <f t="shared" si="178"/>
        <v/>
      </c>
      <c r="CB241" s="79" t="e">
        <f>IF(IF(COUNTIF($CB$4:CB240,CB239)&gt;=MAX($D$4:$D$8),CB239+2,CB239)&gt;55,"",IF(COUNTIF($CB$4:CB240,CB239)&gt;=MAX($D$4:$D$8),CB239+2,CB239))</f>
        <v>#VALUE!</v>
      </c>
      <c r="CC241" s="1" t="e">
        <f t="shared" si="179"/>
        <v>#VALUE!</v>
      </c>
      <c r="CD241" s="8" t="str">
        <f t="shared" si="180"/>
        <v/>
      </c>
      <c r="CF241" s="71" t="e">
        <f t="shared" si="193"/>
        <v>#VALUE!</v>
      </c>
      <c r="CG241" s="71" t="str">
        <f>IF(OR(COUNTBLANK(CJ241)=1,ISERROR(CJ241)),"",COUNT($CJ$4:CJ241))</f>
        <v/>
      </c>
      <c r="CH241" s="7" t="e">
        <f t="shared" si="194"/>
        <v>#VALUE!</v>
      </c>
      <c r="CI241" s="1" t="str">
        <f t="shared" si="195"/>
        <v/>
      </c>
      <c r="CJ241" s="79" t="e">
        <f>IF(IF(COUNTIF($CJ$4:CJ240,CJ238)&gt;=MAX($D$4:$D$8),CJ238+3,CJ238)&gt;55,"",IF(COUNTIF($CJ$4:CJ240,CJ238)&gt;=MAX($D$4:$D$8),CJ238+3,CJ238))</f>
        <v>#VALUE!</v>
      </c>
      <c r="CK241" s="1" t="e">
        <f t="shared" si="181"/>
        <v>#VALUE!</v>
      </c>
      <c r="CL241" s="8" t="str">
        <f t="shared" si="196"/>
        <v/>
      </c>
      <c r="CN241" s="71" t="e">
        <f t="shared" si="187"/>
        <v>#VALUE!</v>
      </c>
      <c r="CO241" s="71" t="str">
        <f>IF(OR(COUNTBLANK(CR241)=1,ISERROR(CR241)),"",COUNT($CR$4:CR241))</f>
        <v/>
      </c>
      <c r="CP241" s="7" t="e">
        <f t="shared" si="188"/>
        <v>#VALUE!</v>
      </c>
      <c r="CQ241" s="1" t="str">
        <f t="shared" si="189"/>
        <v/>
      </c>
      <c r="CR241" s="79" t="e">
        <f>IF(IF(COUNTIF($CR$4:CR240,CR237)&gt;=MAX($D$4:$D$8),CR237+4,CR237)&gt;55,"",IF(COUNTIF($CR$4:CR240,CR237)&gt;=MAX($D$4:$D$8),CR237+4,CR237))</f>
        <v>#VALUE!</v>
      </c>
      <c r="CS241" s="1" t="e">
        <f t="shared" si="182"/>
        <v>#VALUE!</v>
      </c>
      <c r="CT241" s="8" t="str">
        <f t="shared" si="190"/>
        <v/>
      </c>
      <c r="CV241" s="71" t="e">
        <f t="shared" si="197"/>
        <v>#VALUE!</v>
      </c>
      <c r="CW241" s="71" t="str">
        <f>IF(OR(COUNTBLANK(CZ241)=1,ISERROR(CZ241)),"",COUNT($CZ$4:CZ241))</f>
        <v/>
      </c>
      <c r="CX241" s="7" t="e">
        <f t="shared" si="198"/>
        <v>#VALUE!</v>
      </c>
      <c r="CY241" s="1" t="str">
        <f t="shared" si="199"/>
        <v/>
      </c>
      <c r="CZ241" s="79" t="e">
        <f>IF(IF(COUNTIF($CZ$4:CZ240,CZ236)&gt;=MAX($D$4:$D$8),CZ236+5,CZ236)&gt;55,"",IF(COUNTIF($CZ$4:CZ240,CZ236)&gt;=MAX($D$4:$D$8),CZ236+5,CZ236))</f>
        <v>#VALUE!</v>
      </c>
      <c r="DA241" s="1" t="e">
        <f t="shared" si="183"/>
        <v>#VALUE!</v>
      </c>
      <c r="DB241" s="8" t="str">
        <f t="shared" si="200"/>
        <v/>
      </c>
    </row>
    <row r="242" spans="5:106" x14ac:dyDescent="0.15">
      <c r="E242" s="1">
        <v>239</v>
      </c>
      <c r="F242" s="1">
        <f t="shared" si="184"/>
        <v>1</v>
      </c>
      <c r="G242" s="1">
        <f t="shared" si="191"/>
        <v>1</v>
      </c>
      <c r="H242" s="1">
        <f t="shared" si="185"/>
        <v>1</v>
      </c>
      <c r="I242" s="1">
        <f t="shared" si="186"/>
        <v>1</v>
      </c>
      <c r="J242" s="1">
        <f t="shared" si="192"/>
        <v>1</v>
      </c>
      <c r="L242" s="1" t="str">
        <f>IF(ISERROR(HLOOKUP($C$10,$F$3:$J$253,240,0)),"",HLOOKUP($C$10,$F$3:$J$253,240,0))</f>
        <v/>
      </c>
      <c r="N242" s="67"/>
      <c r="W242" s="71" t="e">
        <f>IF(AA242="","",AA242*10+4)</f>
        <v>#VALUE!</v>
      </c>
      <c r="X242" s="71" t="str">
        <f>IF(OR(COUNTBLANK(AA242)=1,ISERROR(AA242)),"",COUNT(AA4:AA242))</f>
        <v/>
      </c>
      <c r="Y242" s="7" t="e">
        <f t="shared" si="157"/>
        <v>#VALUE!</v>
      </c>
      <c r="Z242" s="1" t="str">
        <f t="shared" si="171"/>
        <v/>
      </c>
      <c r="AA242" s="79" t="e">
        <f>IF(IF(COUNTIF(AA4:AA241,AA241)&gt;=MAX(D4:D8),AA241+1,AA241)&gt;50,"",IF(COUNTIF(AA4:AA241,AA241)&gt;=MAX(D4:D8),AA241+1,AA241))</f>
        <v>#VALUE!</v>
      </c>
      <c r="AB242" s="1" t="e">
        <f>IF(AA242="","",VLOOKUP(AA242,S4:U53,3,0))</f>
        <v>#VALUE!</v>
      </c>
      <c r="AC242" s="8" t="str">
        <f t="shared" si="158"/>
        <v/>
      </c>
      <c r="AE242" s="71" t="e">
        <f t="shared" si="159"/>
        <v>#VALUE!</v>
      </c>
      <c r="AF242" s="71" t="str">
        <f>IF(OR(COUNTBLANK(AI242)=1,ISERROR(AI242)),"",COUNT(AI4:AI242))</f>
        <v/>
      </c>
      <c r="AG242" s="7" t="e">
        <f t="shared" si="160"/>
        <v>#VALUE!</v>
      </c>
      <c r="AH242" s="1" t="str">
        <f>IF(ISERROR(INDEX(C4:C8,MATCH(G242,D4:D8,0))),"",INDEX(C4:C8,MATCH(G242,D4:D8,0)))</f>
        <v/>
      </c>
      <c r="AI242" s="79" t="e">
        <f>IF(IF(COUNTIF(AI4:AI241,AI240)&gt;=MAX(D4:D8),AI240+2,AI240)&gt;50,"",IF(COUNTIF(AI4:AI241,AI240)&gt;=MAX(D4:D8),AI240+2,AI240))</f>
        <v>#VALUE!</v>
      </c>
      <c r="AJ242" s="1" t="e">
        <f>IF(AI242="","",VLOOKUP(AI242,S4:U53,3,0))</f>
        <v>#VALUE!</v>
      </c>
      <c r="AK242" s="8" t="str">
        <f t="shared" si="161"/>
        <v/>
      </c>
      <c r="AM242" s="71" t="e">
        <f t="shared" si="162"/>
        <v>#VALUE!</v>
      </c>
      <c r="AN242" s="71" t="str">
        <f>IF(OR(COUNTBLANK(AQ242)=1,ISERROR(AQ242)),"",COUNT(AQ4:AQ242))</f>
        <v/>
      </c>
      <c r="AO242" s="7" t="e">
        <f t="shared" si="163"/>
        <v>#VALUE!</v>
      </c>
      <c r="AP242" s="1" t="str">
        <f>IF(ISERROR(INDEX(C4:C8,MATCH(H242,D4:D8,0))),"",INDEX(C4:C8,MATCH(H242,D4:D8,0)))</f>
        <v/>
      </c>
      <c r="AQ242" s="79" t="e">
        <f>IF(IF(COUNTIF(AQ4:AQ241,AQ239)&gt;=MAX(D4:D8),AQ239+3,AQ239)&gt;50,"",IF(COUNTIF(AQ4:AQ241,AQ239)&gt;=MAX(D4:D8),AQ239+3,AQ239))</f>
        <v>#VALUE!</v>
      </c>
      <c r="AR242" s="1" t="e">
        <f>IF(AQ242="","",VLOOKUP(AQ242,S4:U53,3,0))</f>
        <v>#VALUE!</v>
      </c>
      <c r="AS242" s="8" t="str">
        <f t="shared" si="164"/>
        <v/>
      </c>
      <c r="AU242" s="71" t="e">
        <f t="shared" si="165"/>
        <v>#VALUE!</v>
      </c>
      <c r="AV242" s="71" t="str">
        <f>IF(OR(COUNTBLANK(AY242)=1,ISERROR(AY242)),"",COUNT(AY4:AY242))</f>
        <v/>
      </c>
      <c r="AW242" s="7" t="e">
        <f t="shared" si="166"/>
        <v>#VALUE!</v>
      </c>
      <c r="AX242" s="1" t="str">
        <f>IF(ISERROR(INDEX(C4:C8,MATCH(I242,D4:D8,0))),"",INDEX(C4:C8,MATCH(I242,D4:D8,0)))</f>
        <v/>
      </c>
      <c r="AY242" s="79" t="e">
        <f>IF(IF(COUNTIF(AY4:AY241,AY238)&gt;=MAX(D4:D8),AY238+4,AY238)&gt;50,"",IF(COUNTIF(AY4:AY241,AY238)&gt;=MAX(D4:D8),AY238+4,AY238))</f>
        <v>#VALUE!</v>
      </c>
      <c r="AZ242" s="76" t="e">
        <f>IF(AY242="","",VLOOKUP(AY242,S4:U53,3,0))</f>
        <v>#VALUE!</v>
      </c>
      <c r="BA242" s="8" t="str">
        <f t="shared" si="167"/>
        <v/>
      </c>
      <c r="BC242" s="71" t="e">
        <f t="shared" si="168"/>
        <v>#VALUE!</v>
      </c>
      <c r="BD242" s="71" t="str">
        <f>IF(OR(COUNTBLANK(BG242)=1,ISERROR(BG242)),"",COUNT(BG4:BG242))</f>
        <v/>
      </c>
      <c r="BE242" s="7" t="e">
        <f t="shared" si="169"/>
        <v>#VALUE!</v>
      </c>
      <c r="BF242" s="1" t="str">
        <f>IF(ISERROR(INDEX(C4:C8,MATCH(J242,D4:D8,0))),"",INDEX(C4:C8,MATCH(J242,D4:D8,0)))</f>
        <v/>
      </c>
      <c r="BG242" s="79" t="e">
        <f>IF(IF(COUNTIF(BG4:BG241,BG237)&gt;=MAX(D4:D8),BG237+5,BG237)&gt;50,"",IF(COUNTIF(BG4:BG241,BG237)&gt;=MAX(D4:D8),BG237+5,BG237))</f>
        <v>#VALUE!</v>
      </c>
      <c r="BH242" s="76" t="e">
        <f>IF(BG242="","",VLOOKUP(BG242,S4:U53,3,0))</f>
        <v>#VALUE!</v>
      </c>
      <c r="BI242" s="8" t="str">
        <f t="shared" si="170"/>
        <v/>
      </c>
      <c r="BP242" s="71" t="e">
        <f>IF(BT242="","",BT242*10+4)</f>
        <v>#VALUE!</v>
      </c>
      <c r="BQ242" s="71" t="str">
        <f>IF(OR(COUNTBLANK(BT242)=1,ISERROR(BT242)),"",COUNT(BT4:BT242))</f>
        <v/>
      </c>
      <c r="BR242" s="7" t="e">
        <f t="shared" si="172"/>
        <v>#VALUE!</v>
      </c>
      <c r="BS242" s="1" t="str">
        <f t="shared" si="173"/>
        <v/>
      </c>
      <c r="BT242" s="79" t="e">
        <f>IF(IF(COUNTIF($BT$4:BT241,BT241)&gt;=MAX($D$4:$D$8),BT241+1,BT241)&gt;55,"",IF(COUNTIF($BT$4:BT241,BT241)&gt;=MAX($D$4:$D$8),BT241+1,BT241))</f>
        <v>#VALUE!</v>
      </c>
      <c r="BU242" s="1" t="e">
        <f t="shared" si="174"/>
        <v>#VALUE!</v>
      </c>
      <c r="BV242" s="8" t="str">
        <f t="shared" si="175"/>
        <v/>
      </c>
      <c r="BX242" s="71" t="e">
        <f t="shared" si="176"/>
        <v>#VALUE!</v>
      </c>
      <c r="BY242" s="71" t="str">
        <f>IF(OR(COUNTBLANK(CB242)=1,ISERROR(CB242)),"",COUNT($CB$4:CB242))</f>
        <v/>
      </c>
      <c r="BZ242" s="7" t="e">
        <f t="shared" si="177"/>
        <v>#VALUE!</v>
      </c>
      <c r="CA242" s="1" t="str">
        <f t="shared" si="178"/>
        <v/>
      </c>
      <c r="CB242" s="79" t="e">
        <f>IF(IF(COUNTIF($CB$4:CB241,CB240)&gt;=MAX($D$4:$D$8),CB240+2,CB240)&gt;55,"",IF(COUNTIF($CB$4:CB241,CB240)&gt;=MAX($D$4:$D$8),CB240+2,CB240))</f>
        <v>#VALUE!</v>
      </c>
      <c r="CC242" s="1" t="e">
        <f t="shared" si="179"/>
        <v>#VALUE!</v>
      </c>
      <c r="CD242" s="8" t="str">
        <f t="shared" si="180"/>
        <v/>
      </c>
      <c r="CF242" s="71" t="e">
        <f t="shared" si="193"/>
        <v>#VALUE!</v>
      </c>
      <c r="CG242" s="71" t="str">
        <f>IF(OR(COUNTBLANK(CJ242)=1,ISERROR(CJ242)),"",COUNT($CJ$4:CJ242))</f>
        <v/>
      </c>
      <c r="CH242" s="7" t="e">
        <f t="shared" si="194"/>
        <v>#VALUE!</v>
      </c>
      <c r="CI242" s="1" t="str">
        <f t="shared" si="195"/>
        <v/>
      </c>
      <c r="CJ242" s="79" t="e">
        <f>IF(IF(COUNTIF($CJ$4:CJ241,CJ239)&gt;=MAX($D$4:$D$8),CJ239+3,CJ239)&gt;55,"",IF(COUNTIF($CJ$4:CJ241,CJ239)&gt;=MAX($D$4:$D$8),CJ239+3,CJ239))</f>
        <v>#VALUE!</v>
      </c>
      <c r="CK242" s="1" t="e">
        <f t="shared" si="181"/>
        <v>#VALUE!</v>
      </c>
      <c r="CL242" s="8" t="str">
        <f t="shared" si="196"/>
        <v/>
      </c>
      <c r="CN242" s="71" t="e">
        <f t="shared" si="187"/>
        <v>#VALUE!</v>
      </c>
      <c r="CO242" s="71" t="str">
        <f>IF(OR(COUNTBLANK(CR242)=1,ISERROR(CR242)),"",COUNT($CR$4:CR242))</f>
        <v/>
      </c>
      <c r="CP242" s="7" t="e">
        <f t="shared" si="188"/>
        <v>#VALUE!</v>
      </c>
      <c r="CQ242" s="1" t="str">
        <f t="shared" si="189"/>
        <v/>
      </c>
      <c r="CR242" s="79" t="e">
        <f>IF(IF(COUNTIF($CR$4:CR241,CR238)&gt;=MAX($D$4:$D$8),CR238+4,CR238)&gt;55,"",IF(COUNTIF($CR$4:CR241,CR238)&gt;=MAX($D$4:$D$8),CR238+4,CR238))</f>
        <v>#VALUE!</v>
      </c>
      <c r="CS242" s="1" t="e">
        <f t="shared" si="182"/>
        <v>#VALUE!</v>
      </c>
      <c r="CT242" s="8" t="str">
        <f t="shared" si="190"/>
        <v/>
      </c>
      <c r="CV242" s="71" t="e">
        <f t="shared" si="197"/>
        <v>#VALUE!</v>
      </c>
      <c r="CW242" s="71" t="str">
        <f>IF(OR(COUNTBLANK(CZ242)=1,ISERROR(CZ242)),"",COUNT($CZ$4:CZ242))</f>
        <v/>
      </c>
      <c r="CX242" s="7" t="e">
        <f t="shared" si="198"/>
        <v>#VALUE!</v>
      </c>
      <c r="CY242" s="1" t="str">
        <f t="shared" si="199"/>
        <v/>
      </c>
      <c r="CZ242" s="79" t="e">
        <f>IF(IF(COUNTIF($CZ$4:CZ241,CZ237)&gt;=MAX($D$4:$D$8),CZ237+5,CZ237)&gt;55,"",IF(COUNTIF($CZ$4:CZ241,CZ237)&gt;=MAX($D$4:$D$8),CZ237+5,CZ237))</f>
        <v>#VALUE!</v>
      </c>
      <c r="DA242" s="1" t="e">
        <f t="shared" si="183"/>
        <v>#VALUE!</v>
      </c>
      <c r="DB242" s="8" t="str">
        <f t="shared" si="200"/>
        <v/>
      </c>
    </row>
    <row r="243" spans="5:106" x14ac:dyDescent="0.15">
      <c r="E243" s="1">
        <v>240</v>
      </c>
      <c r="F243" s="1">
        <f t="shared" si="184"/>
        <v>1</v>
      </c>
      <c r="G243" s="1">
        <f t="shared" si="191"/>
        <v>1</v>
      </c>
      <c r="H243" s="1">
        <f t="shared" si="185"/>
        <v>1</v>
      </c>
      <c r="I243" s="1">
        <f t="shared" si="186"/>
        <v>1</v>
      </c>
      <c r="J243" s="1">
        <f t="shared" si="192"/>
        <v>1</v>
      </c>
      <c r="L243" s="1" t="str">
        <f>IF(ISERROR(HLOOKUP($C$10,$F$3:$J$253,241,0)),"",HLOOKUP($C$10,$F$3:$J$253,241,0))</f>
        <v/>
      </c>
      <c r="N243" s="67"/>
      <c r="W243" s="71" t="e">
        <f>IF(AA243="","",AA243*10+5)</f>
        <v>#VALUE!</v>
      </c>
      <c r="X243" s="71" t="str">
        <f>IF(OR(COUNTBLANK(AA243)=1,ISERROR(AA243)),"",COUNT(AA4:AA243))</f>
        <v/>
      </c>
      <c r="Y243" s="7" t="e">
        <f t="shared" si="157"/>
        <v>#VALUE!</v>
      </c>
      <c r="Z243" s="1" t="str">
        <f t="shared" si="171"/>
        <v/>
      </c>
      <c r="AA243" s="79" t="e">
        <f>IF(IF(COUNTIF(AA4:AA242,AA242)&gt;=MAX(D4:D8),AA242+1,AA242)&gt;50,"",IF(COUNTIF(AA4:AA242,AA242)&gt;=MAX(D4:D8),AA242+1,AA242))</f>
        <v>#VALUE!</v>
      </c>
      <c r="AB243" s="1" t="e">
        <f>IF(AA243="","",VLOOKUP(AA243,S4:U53,3,0))</f>
        <v>#VALUE!</v>
      </c>
      <c r="AC243" s="8" t="str">
        <f t="shared" si="158"/>
        <v/>
      </c>
      <c r="AE243" s="71" t="e">
        <f t="shared" si="159"/>
        <v>#VALUE!</v>
      </c>
      <c r="AF243" s="71" t="str">
        <f>IF(OR(COUNTBLANK(AI243)=1,ISERROR(AI243)),"",COUNT(AI4:AI243))</f>
        <v/>
      </c>
      <c r="AG243" s="7" t="e">
        <f t="shared" si="160"/>
        <v>#VALUE!</v>
      </c>
      <c r="AH243" s="1" t="str">
        <f>IF(ISERROR(INDEX(C4:C8,MATCH(G243,D4:D8,0))),"",INDEX(C4:C8,MATCH(G243,D4:D8,0)))</f>
        <v/>
      </c>
      <c r="AI243" s="79" t="e">
        <f>IF(IF(COUNTIF(AI4:AI241,AI241)&gt;=MAX(D4:D8),AI241+2,AI241)&gt;50,"",IF(COUNTIF(AI4:AI241,AI241)&gt;=MAX(D4:D8),AI241+2,AI241))</f>
        <v>#VALUE!</v>
      </c>
      <c r="AJ243" s="1" t="e">
        <f>IF(AI243="","",VLOOKUP(AI243,S4:U53,3,0))</f>
        <v>#VALUE!</v>
      </c>
      <c r="AK243" s="8" t="str">
        <f t="shared" si="161"/>
        <v/>
      </c>
      <c r="AM243" s="71" t="e">
        <f t="shared" si="162"/>
        <v>#VALUE!</v>
      </c>
      <c r="AN243" s="71" t="str">
        <f>IF(OR(COUNTBLANK(AQ243)=1,ISERROR(AQ243)),"",COUNT(AQ4:AQ243))</f>
        <v/>
      </c>
      <c r="AO243" s="7" t="e">
        <f t="shared" si="163"/>
        <v>#VALUE!</v>
      </c>
      <c r="AP243" s="1" t="str">
        <f>IF(ISERROR(INDEX(C4:C8,MATCH(H243,D4:D8,0))),"",INDEX(C4:C8,MATCH(H243,D4:D8,0)))</f>
        <v/>
      </c>
      <c r="AQ243" s="79" t="e">
        <f>IF(IF(COUNTIF(AQ4:AQ242,AQ240)&gt;=MAX(D4:D8),AQ240+3,AQ240)&gt;50,"",IF(COUNTIF(AQ4:AQ242,AQ240)&gt;=MAX(D4:D8),AQ240+3,AQ240))</f>
        <v>#VALUE!</v>
      </c>
      <c r="AR243" s="1" t="e">
        <f>IF(AQ243="","",VLOOKUP(AQ243,S4:U53,3,0))</f>
        <v>#VALUE!</v>
      </c>
      <c r="AS243" s="8" t="str">
        <f t="shared" si="164"/>
        <v/>
      </c>
      <c r="AU243" s="71" t="e">
        <f t="shared" si="165"/>
        <v>#VALUE!</v>
      </c>
      <c r="AV243" s="71" t="str">
        <f>IF(OR(COUNTBLANK(AY243)=1,ISERROR(AY243)),"",COUNT(AY4:AY243))</f>
        <v/>
      </c>
      <c r="AW243" s="7" t="e">
        <f t="shared" si="166"/>
        <v>#VALUE!</v>
      </c>
      <c r="AX243" s="1" t="str">
        <f>IF(ISERROR(INDEX(C4:C8,MATCH(I243,D4:D8,0))),"",INDEX(C4:C8,MATCH(I243,D4:D8,0)))</f>
        <v/>
      </c>
      <c r="AY243" s="79" t="e">
        <f>IF(IF(COUNTIF(AY4:AY242,AY239)&gt;=MAX(D4:D8),AY239+4,AY239)&gt;50,"",IF(COUNTIF(AY4:AY242,AY239)&gt;=MAX(D4:D8),AY239+4,AY239))</f>
        <v>#VALUE!</v>
      </c>
      <c r="AZ243" s="76" t="e">
        <f>IF(AY243="","",VLOOKUP(AY243,S4:U53,3,0))</f>
        <v>#VALUE!</v>
      </c>
      <c r="BA243" s="8" t="str">
        <f t="shared" si="167"/>
        <v/>
      </c>
      <c r="BC243" s="71" t="e">
        <f t="shared" si="168"/>
        <v>#VALUE!</v>
      </c>
      <c r="BD243" s="71" t="str">
        <f>IF(OR(COUNTBLANK(BG243)=1,ISERROR(BG243)),"",COUNT(BG4:BG243))</f>
        <v/>
      </c>
      <c r="BE243" s="7" t="e">
        <f t="shared" si="169"/>
        <v>#VALUE!</v>
      </c>
      <c r="BF243" s="1" t="str">
        <f>IF(ISERROR(INDEX(C4:C8,MATCH(J243,D4:D8,0))),"",INDEX(C4:C8,MATCH(J243,D4:D8,0)))</f>
        <v/>
      </c>
      <c r="BG243" s="79" t="e">
        <f>IF(IF(COUNTIF(BG4:BG242,BG238)&gt;=MAX(D4:D8),BG238+5,BG238)&gt;50,"",IF(COUNTIF(BG4:BG242,BG238)&gt;=MAX(D4:D8),BG238+5,BG238))</f>
        <v>#VALUE!</v>
      </c>
      <c r="BH243" s="76" t="e">
        <f>IF(BG243="","",VLOOKUP(BG243,S4:U53,3,0))</f>
        <v>#VALUE!</v>
      </c>
      <c r="BI243" s="8" t="str">
        <f t="shared" si="170"/>
        <v/>
      </c>
      <c r="BP243" s="71" t="e">
        <f>IF(BT243="","",BT243*10+5)</f>
        <v>#VALUE!</v>
      </c>
      <c r="BQ243" s="71" t="str">
        <f>IF(OR(COUNTBLANK(BT243)=1,ISERROR(BT243)),"",COUNT(BT4:BT243))</f>
        <v/>
      </c>
      <c r="BR243" s="7" t="e">
        <f t="shared" si="172"/>
        <v>#VALUE!</v>
      </c>
      <c r="BS243" s="1" t="str">
        <f t="shared" si="173"/>
        <v/>
      </c>
      <c r="BT243" s="79" t="e">
        <f>IF(IF(COUNTIF($BT$4:BT242,BT242)&gt;=MAX($D$4:$D$8),BT242+1,BT242)&gt;55,"",IF(COUNTIF($BT$4:BT242,BT242)&gt;=MAX($D$4:$D$8),BT242+1,BT242))</f>
        <v>#VALUE!</v>
      </c>
      <c r="BU243" s="1" t="e">
        <f t="shared" si="174"/>
        <v>#VALUE!</v>
      </c>
      <c r="BV243" s="8" t="str">
        <f t="shared" si="175"/>
        <v/>
      </c>
      <c r="BX243" s="71" t="e">
        <f t="shared" si="176"/>
        <v>#VALUE!</v>
      </c>
      <c r="BY243" s="71" t="str">
        <f>IF(OR(COUNTBLANK(CB243)=1,ISERROR(CB243)),"",COUNT($CB$4:CB243))</f>
        <v/>
      </c>
      <c r="BZ243" s="7" t="e">
        <f t="shared" si="177"/>
        <v>#VALUE!</v>
      </c>
      <c r="CA243" s="1" t="str">
        <f t="shared" si="178"/>
        <v/>
      </c>
      <c r="CB243" s="79" t="e">
        <f>IF(IF(COUNTIF($CB$4:CB242,CB241)&gt;=MAX($D$4:$D$8),CB241+2,CB241)&gt;55,"",IF(COUNTIF($CB$4:CB242,CB241)&gt;=MAX($D$4:$D$8),CB241+2,CB241))</f>
        <v>#VALUE!</v>
      </c>
      <c r="CC243" s="1" t="e">
        <f t="shared" si="179"/>
        <v>#VALUE!</v>
      </c>
      <c r="CD243" s="8" t="str">
        <f t="shared" si="180"/>
        <v/>
      </c>
      <c r="CF243" s="71" t="e">
        <f t="shared" si="193"/>
        <v>#VALUE!</v>
      </c>
      <c r="CG243" s="71" t="str">
        <f>IF(OR(COUNTBLANK(CJ243)=1,ISERROR(CJ243)),"",COUNT($CJ$4:CJ243))</f>
        <v/>
      </c>
      <c r="CH243" s="7" t="e">
        <f t="shared" si="194"/>
        <v>#VALUE!</v>
      </c>
      <c r="CI243" s="1" t="str">
        <f t="shared" si="195"/>
        <v/>
      </c>
      <c r="CJ243" s="79" t="e">
        <f>IF(IF(COUNTIF($CJ$4:CJ242,CJ240)&gt;=MAX($D$4:$D$8),CJ240+3,CJ240)&gt;55,"",IF(COUNTIF($CJ$4:CJ242,CJ240)&gt;=MAX($D$4:$D$8),CJ240+3,CJ240))</f>
        <v>#VALUE!</v>
      </c>
      <c r="CK243" s="1" t="e">
        <f t="shared" si="181"/>
        <v>#VALUE!</v>
      </c>
      <c r="CL243" s="8" t="str">
        <f t="shared" si="196"/>
        <v/>
      </c>
      <c r="CN243" s="71" t="e">
        <f t="shared" si="187"/>
        <v>#VALUE!</v>
      </c>
      <c r="CO243" s="71" t="str">
        <f>IF(OR(COUNTBLANK(CR243)=1,ISERROR(CR243)),"",COUNT($CR$4:CR243))</f>
        <v/>
      </c>
      <c r="CP243" s="7" t="e">
        <f t="shared" si="188"/>
        <v>#VALUE!</v>
      </c>
      <c r="CQ243" s="1" t="str">
        <f t="shared" si="189"/>
        <v/>
      </c>
      <c r="CR243" s="79" t="e">
        <f>IF(IF(COUNTIF($CR$4:CR242,CR239)&gt;=MAX($D$4:$D$8),CR239+4,CR239)&gt;55,"",IF(COUNTIF($CR$4:CR242,CR239)&gt;=MAX($D$4:$D$8),CR239+4,CR239))</f>
        <v>#VALUE!</v>
      </c>
      <c r="CS243" s="1" t="e">
        <f t="shared" si="182"/>
        <v>#VALUE!</v>
      </c>
      <c r="CT243" s="8" t="str">
        <f t="shared" si="190"/>
        <v/>
      </c>
      <c r="CV243" s="71" t="e">
        <f t="shared" si="197"/>
        <v>#VALUE!</v>
      </c>
      <c r="CW243" s="71" t="str">
        <f>IF(OR(COUNTBLANK(CZ243)=1,ISERROR(CZ243)),"",COUNT($CZ$4:CZ243))</f>
        <v/>
      </c>
      <c r="CX243" s="7" t="e">
        <f t="shared" si="198"/>
        <v>#VALUE!</v>
      </c>
      <c r="CY243" s="1" t="str">
        <f t="shared" si="199"/>
        <v/>
      </c>
      <c r="CZ243" s="79" t="e">
        <f>IF(IF(COUNTIF($CZ$4:CZ242,CZ238)&gt;=MAX($D$4:$D$8),CZ238+5,CZ238)&gt;55,"",IF(COUNTIF($CZ$4:CZ242,CZ238)&gt;=MAX($D$4:$D$8),CZ238+5,CZ238))</f>
        <v>#VALUE!</v>
      </c>
      <c r="DA243" s="1" t="e">
        <f t="shared" si="183"/>
        <v>#VALUE!</v>
      </c>
      <c r="DB243" s="8" t="str">
        <f t="shared" si="200"/>
        <v/>
      </c>
    </row>
    <row r="244" spans="5:106" x14ac:dyDescent="0.15">
      <c r="E244" s="1">
        <v>241</v>
      </c>
      <c r="F244" s="1">
        <f t="shared" si="184"/>
        <v>1</v>
      </c>
      <c r="G244" s="1">
        <f t="shared" si="191"/>
        <v>1</v>
      </c>
      <c r="H244" s="1">
        <f t="shared" si="185"/>
        <v>1</v>
      </c>
      <c r="I244" s="1">
        <f t="shared" si="186"/>
        <v>1</v>
      </c>
      <c r="J244" s="1">
        <f t="shared" si="192"/>
        <v>1</v>
      </c>
      <c r="L244" s="1" t="str">
        <f>IF(ISERROR(HLOOKUP($C$10,$F$3:$J$253,242,0)),"",HLOOKUP($C$10,$F$3:$J$253,242,0))</f>
        <v/>
      </c>
      <c r="N244" s="67"/>
      <c r="W244" s="71" t="e">
        <f>IF(AA244="","",AA244*10+1)</f>
        <v>#VALUE!</v>
      </c>
      <c r="X244" s="71" t="str">
        <f>IF(OR(COUNTBLANK(AA244)=1,ISERROR(AA244)),"",COUNT(AA4:AA244))</f>
        <v/>
      </c>
      <c r="Y244" s="7" t="e">
        <f t="shared" si="157"/>
        <v>#VALUE!</v>
      </c>
      <c r="Z244" s="1" t="str">
        <f t="shared" si="171"/>
        <v/>
      </c>
      <c r="AA244" s="79" t="e">
        <f>IF(IF(COUNTIF(AA4:AA243,AA243)&gt;=MAX(D4:D8),AA243+1,AA243)&gt;50,"",IF(COUNTIF(AA4:AA243,AA243)&gt;=MAX(D4:D8),AA243+1,AA243))</f>
        <v>#VALUE!</v>
      </c>
      <c r="AB244" s="1" t="e">
        <f>IF(AA244="","",VLOOKUP(AA244,S4:U53,3,0))</f>
        <v>#VALUE!</v>
      </c>
      <c r="AC244" s="8" t="str">
        <f t="shared" si="158"/>
        <v/>
      </c>
      <c r="AE244" s="71" t="e">
        <f t="shared" si="159"/>
        <v>#VALUE!</v>
      </c>
      <c r="AF244" s="71" t="str">
        <f>IF(OR(COUNTBLANK(AI244)=1,ISERROR(AI244)),"",COUNT(AI4:AI244))</f>
        <v/>
      </c>
      <c r="AG244" s="7" t="e">
        <f t="shared" si="160"/>
        <v>#VALUE!</v>
      </c>
      <c r="AH244" s="1" t="str">
        <f>IF(ISERROR(INDEX(C4:C8,MATCH(G244,D4:D8,0))),"",INDEX(C4:C8,MATCH(G244,D4:D8,0)))</f>
        <v/>
      </c>
      <c r="AI244" s="79" t="e">
        <f>IF(IF(COUNTIF(AI4:AI243,AI242)&gt;=MAX(D4:D8),AI242+2,AI242)&gt;50,"",IF(COUNTIF(AI4:AI243,AI242)&gt;=MAX(D4:D8),AI242+2,AI242))</f>
        <v>#VALUE!</v>
      </c>
      <c r="AJ244" s="1" t="e">
        <f>IF(AI244="","",VLOOKUP(AI244,S4:U53,3,0))</f>
        <v>#VALUE!</v>
      </c>
      <c r="AK244" s="8" t="str">
        <f t="shared" si="161"/>
        <v/>
      </c>
      <c r="AM244" s="71" t="e">
        <f t="shared" si="162"/>
        <v>#VALUE!</v>
      </c>
      <c r="AN244" s="71" t="str">
        <f>IF(OR(COUNTBLANK(AQ244)=1,ISERROR(AQ244)),"",COUNT(AQ4:AQ244))</f>
        <v/>
      </c>
      <c r="AO244" s="7" t="e">
        <f t="shared" si="163"/>
        <v>#VALUE!</v>
      </c>
      <c r="AP244" s="1" t="str">
        <f>IF(ISERROR(INDEX(C4:C8,MATCH(H244,D4:D8,0))),"",INDEX(C4:C8,MATCH(H244,D4:D8,0)))</f>
        <v/>
      </c>
      <c r="AQ244" s="79" t="e">
        <f>IF(IF(COUNTIF(AQ4:AQ243,AQ241)&gt;=MAX(D4:D8),AQ241+3,AQ241)&gt;50,"",IF(COUNTIF(AQ4:AQ243,AQ241)&gt;=MAX(D4:D8),AQ241+3,AQ241))</f>
        <v>#VALUE!</v>
      </c>
      <c r="AR244" s="1" t="e">
        <f>IF(AQ244="","",VLOOKUP(AQ244,S4:U53,3,0))</f>
        <v>#VALUE!</v>
      </c>
      <c r="AS244" s="8" t="str">
        <f t="shared" si="164"/>
        <v/>
      </c>
      <c r="AU244" s="71" t="e">
        <f t="shared" si="165"/>
        <v>#VALUE!</v>
      </c>
      <c r="AV244" s="71" t="str">
        <f>IF(OR(COUNTBLANK(AY244)=1,ISERROR(AY244)),"",COUNT(AY4:AY244))</f>
        <v/>
      </c>
      <c r="AW244" s="7" t="e">
        <f t="shared" si="166"/>
        <v>#VALUE!</v>
      </c>
      <c r="AX244" s="1" t="str">
        <f>IF(ISERROR(INDEX(C4:C8,MATCH(I244,D4:D8,0))),"",INDEX(C4:C8,MATCH(I244,D4:D8,0)))</f>
        <v/>
      </c>
      <c r="AY244" s="79" t="e">
        <f>IF(IF(COUNTIF(AY4:AY243,AY240)&gt;=MAX(D4:D8),AY240+4,AY240)&gt;50,"",IF(COUNTIF(AY4:AY243,AY240)&gt;=MAX(D4:D8),AY240+4,AY240))</f>
        <v>#VALUE!</v>
      </c>
      <c r="AZ244" s="76" t="e">
        <f>IF(AY244="","",VLOOKUP(AY244,S4:U53,3,0))</f>
        <v>#VALUE!</v>
      </c>
      <c r="BA244" s="8" t="str">
        <f t="shared" si="167"/>
        <v/>
      </c>
      <c r="BC244" s="71" t="e">
        <f t="shared" si="168"/>
        <v>#VALUE!</v>
      </c>
      <c r="BD244" s="71" t="str">
        <f>IF(OR(COUNTBLANK(BG244)=1,ISERROR(BG244)),"",COUNT(BG4:BG244))</f>
        <v/>
      </c>
      <c r="BE244" s="7" t="e">
        <f t="shared" si="169"/>
        <v>#VALUE!</v>
      </c>
      <c r="BF244" s="1" t="str">
        <f>IF(ISERROR(INDEX(C4:C8,MATCH(J244,D4:D8,0))),"",INDEX(C4:C8,MATCH(J244,D4:D8,0)))</f>
        <v/>
      </c>
      <c r="BG244" s="79" t="e">
        <f>IF(IF(COUNTIF(BG4:BG243,BG239)&gt;=MAX(D4:D8),BG239+5,BG239)&gt;50,"",IF(COUNTIF(BG4:BG243,BG239)&gt;=MAX(D4:D8),BG239+5,BG239))</f>
        <v>#VALUE!</v>
      </c>
      <c r="BH244" s="76" t="e">
        <f>IF(BG244="","",VLOOKUP(BG244,S4:U53,3,0))</f>
        <v>#VALUE!</v>
      </c>
      <c r="BI244" s="8" t="str">
        <f t="shared" si="170"/>
        <v/>
      </c>
      <c r="BP244" s="71" t="e">
        <f>IF(BT244="","",BT244*10+1)</f>
        <v>#VALUE!</v>
      </c>
      <c r="BQ244" s="71" t="str">
        <f>IF(OR(COUNTBLANK(BT244)=1,ISERROR(BT244)),"",COUNT(BT4:BT244))</f>
        <v/>
      </c>
      <c r="BR244" s="7" t="e">
        <f t="shared" si="172"/>
        <v>#VALUE!</v>
      </c>
      <c r="BS244" s="1" t="str">
        <f t="shared" si="173"/>
        <v/>
      </c>
      <c r="BT244" s="79" t="e">
        <f>IF(IF(COUNTIF($BT$4:BT243,BT243)&gt;=MAX($D$4:$D$8),BT243+1,BT243)&gt;55,"",IF(COUNTIF($BT$4:BT243,BT243)&gt;=MAX($D$4:$D$8),BT243+1,BT243))</f>
        <v>#VALUE!</v>
      </c>
      <c r="BU244" s="1" t="e">
        <f t="shared" si="174"/>
        <v>#VALUE!</v>
      </c>
      <c r="BV244" s="8" t="str">
        <f t="shared" si="175"/>
        <v/>
      </c>
      <c r="BX244" s="71" t="e">
        <f t="shared" si="176"/>
        <v>#VALUE!</v>
      </c>
      <c r="BY244" s="71" t="str">
        <f>IF(OR(COUNTBLANK(CB244)=1,ISERROR(CB244)),"",COUNT($CB$4:CB244))</f>
        <v/>
      </c>
      <c r="BZ244" s="7" t="e">
        <f t="shared" si="177"/>
        <v>#VALUE!</v>
      </c>
      <c r="CA244" s="1" t="str">
        <f t="shared" si="178"/>
        <v/>
      </c>
      <c r="CB244" s="79" t="e">
        <f>IF(IF(COUNTIF($CB$4:CB243,CB242)&gt;=MAX($D$4:$D$8),CB242+2,CB242)&gt;55,"",IF(COUNTIF($CB$4:CB243,CB242)&gt;=MAX($D$4:$D$8),CB242+2,CB242))</f>
        <v>#VALUE!</v>
      </c>
      <c r="CC244" s="1" t="e">
        <f t="shared" si="179"/>
        <v>#VALUE!</v>
      </c>
      <c r="CD244" s="8" t="str">
        <f t="shared" si="180"/>
        <v/>
      </c>
      <c r="CF244" s="71" t="e">
        <f t="shared" si="193"/>
        <v>#VALUE!</v>
      </c>
      <c r="CG244" s="71" t="str">
        <f>IF(OR(COUNTBLANK(CJ244)=1,ISERROR(CJ244)),"",COUNT($CJ$4:CJ244))</f>
        <v/>
      </c>
      <c r="CH244" s="7" t="e">
        <f t="shared" si="194"/>
        <v>#VALUE!</v>
      </c>
      <c r="CI244" s="1" t="str">
        <f t="shared" si="195"/>
        <v/>
      </c>
      <c r="CJ244" s="79" t="e">
        <f>IF(IF(COUNTIF($CJ$4:CJ243,CJ241)&gt;=MAX($D$4:$D$8),CJ241+3,CJ241)&gt;55,"",IF(COUNTIF($CJ$4:CJ243,CJ241)&gt;=MAX($D$4:$D$8),CJ241+3,CJ241))</f>
        <v>#VALUE!</v>
      </c>
      <c r="CK244" s="1" t="e">
        <f t="shared" si="181"/>
        <v>#VALUE!</v>
      </c>
      <c r="CL244" s="8" t="str">
        <f t="shared" si="196"/>
        <v/>
      </c>
      <c r="CN244" s="71" t="e">
        <f t="shared" si="187"/>
        <v>#VALUE!</v>
      </c>
      <c r="CO244" s="71" t="str">
        <f>IF(OR(COUNTBLANK(CR244)=1,ISERROR(CR244)),"",COUNT($CR$4:CR244))</f>
        <v/>
      </c>
      <c r="CP244" s="7" t="e">
        <f t="shared" si="188"/>
        <v>#VALUE!</v>
      </c>
      <c r="CQ244" s="1" t="str">
        <f t="shared" si="189"/>
        <v/>
      </c>
      <c r="CR244" s="79" t="e">
        <f>IF(IF(COUNTIF($CR$4:CR243,CR240)&gt;=MAX($D$4:$D$8),CR240+4,CR240)&gt;55,"",IF(COUNTIF($CR$4:CR243,CR240)&gt;=MAX($D$4:$D$8),CR240+4,CR240))</f>
        <v>#VALUE!</v>
      </c>
      <c r="CS244" s="1" t="e">
        <f t="shared" si="182"/>
        <v>#VALUE!</v>
      </c>
      <c r="CT244" s="8" t="str">
        <f t="shared" si="190"/>
        <v/>
      </c>
      <c r="CV244" s="71" t="e">
        <f t="shared" si="197"/>
        <v>#VALUE!</v>
      </c>
      <c r="CW244" s="71" t="str">
        <f>IF(OR(COUNTBLANK(CZ244)=1,ISERROR(CZ244)),"",COUNT($CZ$4:CZ244))</f>
        <v/>
      </c>
      <c r="CX244" s="7" t="e">
        <f t="shared" si="198"/>
        <v>#VALUE!</v>
      </c>
      <c r="CY244" s="1" t="str">
        <f t="shared" si="199"/>
        <v/>
      </c>
      <c r="CZ244" s="79" t="e">
        <f>IF(IF(COUNTIF($CZ$4:CZ243,CZ239)&gt;=MAX($D$4:$D$8),CZ239+5,CZ239)&gt;55,"",IF(COUNTIF($CZ$4:CZ243,CZ239)&gt;=MAX($D$4:$D$8),CZ239+5,CZ239))</f>
        <v>#VALUE!</v>
      </c>
      <c r="DA244" s="1" t="e">
        <f t="shared" si="183"/>
        <v>#VALUE!</v>
      </c>
      <c r="DB244" s="8" t="str">
        <f t="shared" si="200"/>
        <v/>
      </c>
    </row>
    <row r="245" spans="5:106" x14ac:dyDescent="0.15">
      <c r="E245" s="1">
        <v>242</v>
      </c>
      <c r="F245" s="1">
        <f t="shared" si="184"/>
        <v>1</v>
      </c>
      <c r="G245" s="1">
        <f t="shared" si="191"/>
        <v>1</v>
      </c>
      <c r="H245" s="1">
        <f t="shared" si="185"/>
        <v>1</v>
      </c>
      <c r="I245" s="1">
        <f t="shared" si="186"/>
        <v>1</v>
      </c>
      <c r="J245" s="1">
        <f t="shared" si="192"/>
        <v>1</v>
      </c>
      <c r="L245" s="1" t="str">
        <f>IF(ISERROR(HLOOKUP($C$10,$F$3:$J$253,243,0)),"",HLOOKUP($C$10,$F$3:$J$253,243,0))</f>
        <v/>
      </c>
      <c r="N245" s="67"/>
      <c r="W245" s="71" t="e">
        <f>IF(AA245="","",AA245*10+2)</f>
        <v>#VALUE!</v>
      </c>
      <c r="X245" s="71" t="str">
        <f>IF(OR(COUNTBLANK(AA245)=1,ISERROR(AA245)),"",COUNT(AA4:AA245))</f>
        <v/>
      </c>
      <c r="Y245" s="7" t="e">
        <f t="shared" si="157"/>
        <v>#VALUE!</v>
      </c>
      <c r="Z245" s="1" t="str">
        <f t="shared" si="171"/>
        <v/>
      </c>
      <c r="AA245" s="79" t="e">
        <f>IF(IF(COUNTIF(AA4:AA244,AA244)&gt;=MAX(D4:D8),AA244+1,AA244)&gt;50,"",IF(COUNTIF(AA4:AA244,AA244)&gt;=MAX(D4:D8),AA244+1,AA244))</f>
        <v>#VALUE!</v>
      </c>
      <c r="AB245" s="1" t="e">
        <f>IF(AA245="","",VLOOKUP(AA245,S4:U53,3,0))</f>
        <v>#VALUE!</v>
      </c>
      <c r="AC245" s="8" t="str">
        <f t="shared" si="158"/>
        <v/>
      </c>
      <c r="AE245" s="71" t="e">
        <f t="shared" si="159"/>
        <v>#VALUE!</v>
      </c>
      <c r="AF245" s="71" t="str">
        <f>IF(OR(COUNTBLANK(AI245)=1,ISERROR(AI245)),"",COUNT(AI4:AI245))</f>
        <v/>
      </c>
      <c r="AG245" s="7" t="e">
        <f t="shared" si="160"/>
        <v>#VALUE!</v>
      </c>
      <c r="AH245" s="1" t="str">
        <f>IF(ISERROR(INDEX(C4:C8,MATCH(G245,D4:D8,0))),"",INDEX(C4:C8,MATCH(G245,D4:D8,0)))</f>
        <v/>
      </c>
      <c r="AI245" s="79" t="e">
        <f>IF(IF(COUNTIF(AI4:AI243,AI243)&gt;=MAX(D4:D8),AI243+2,AI243)&gt;50,"",IF(COUNTIF(AI4:AI243,AI243)&gt;=MAX(D4:D8),AI243+2,AI243))</f>
        <v>#VALUE!</v>
      </c>
      <c r="AJ245" s="1" t="e">
        <f>IF(AI245="","",VLOOKUP(AI245,S4:U53,3,0))</f>
        <v>#VALUE!</v>
      </c>
      <c r="AK245" s="8" t="str">
        <f t="shared" si="161"/>
        <v/>
      </c>
      <c r="AM245" s="71" t="e">
        <f t="shared" si="162"/>
        <v>#VALUE!</v>
      </c>
      <c r="AN245" s="71" t="str">
        <f>IF(OR(COUNTBLANK(AQ245)=1,ISERROR(AQ245)),"",COUNT(AQ4:AQ245))</f>
        <v/>
      </c>
      <c r="AO245" s="7" t="e">
        <f t="shared" si="163"/>
        <v>#VALUE!</v>
      </c>
      <c r="AP245" s="1" t="str">
        <f>IF(ISERROR(INDEX(C4:C8,MATCH(H245,D4:D8,0))),"",INDEX(C4:C8,MATCH(H245,D4:D8,0)))</f>
        <v/>
      </c>
      <c r="AQ245" s="79" t="e">
        <f>IF(IF(COUNTIF(AQ4:AQ244,AQ242)&gt;=MAX(D4:D8),AQ242+3,AQ242)&gt;50,"",IF(COUNTIF(AQ4:AQ244,AQ242)&gt;=MAX(D4:D8),AQ242+3,AQ242))</f>
        <v>#VALUE!</v>
      </c>
      <c r="AR245" s="1" t="e">
        <f>IF(AQ245="","",VLOOKUP(AQ245,S4:U53,3,0))</f>
        <v>#VALUE!</v>
      </c>
      <c r="AS245" s="8" t="str">
        <f t="shared" si="164"/>
        <v/>
      </c>
      <c r="AU245" s="71" t="e">
        <f t="shared" si="165"/>
        <v>#VALUE!</v>
      </c>
      <c r="AV245" s="71" t="str">
        <f>IF(OR(COUNTBLANK(AY245)=1,ISERROR(AY245)),"",COUNT(AY4:AY245))</f>
        <v/>
      </c>
      <c r="AW245" s="7" t="e">
        <f t="shared" si="166"/>
        <v>#VALUE!</v>
      </c>
      <c r="AX245" s="1" t="str">
        <f>IF(ISERROR(INDEX(C4:C8,MATCH(I245,D4:D8,0))),"",INDEX(C4:C8,MATCH(I245,D4:D8,0)))</f>
        <v/>
      </c>
      <c r="AY245" s="79" t="e">
        <f>IF(IF(COUNTIF(AY4:AY244,AY241)&gt;=MAX(D4:D8),AY241+4,AY241)&gt;50,"",IF(COUNTIF(AY4:AY244,AY241)&gt;=MAX(D4:D8),AY241+4,AY241))</f>
        <v>#VALUE!</v>
      </c>
      <c r="AZ245" s="76" t="e">
        <f>IF(AY245="","",VLOOKUP(AY245,S4:U53,3,0))</f>
        <v>#VALUE!</v>
      </c>
      <c r="BA245" s="8" t="str">
        <f t="shared" si="167"/>
        <v/>
      </c>
      <c r="BC245" s="71" t="e">
        <f t="shared" si="168"/>
        <v>#VALUE!</v>
      </c>
      <c r="BD245" s="71" t="str">
        <f>IF(OR(COUNTBLANK(BG245)=1,ISERROR(BG245)),"",COUNT(BG4:BG245))</f>
        <v/>
      </c>
      <c r="BE245" s="7" t="e">
        <f t="shared" si="169"/>
        <v>#VALUE!</v>
      </c>
      <c r="BF245" s="1" t="str">
        <f>IF(ISERROR(INDEX(C4:C8,MATCH(J245,D4:D8,0))),"",INDEX(C4:C8,MATCH(J245,D4:D8,0)))</f>
        <v/>
      </c>
      <c r="BG245" s="79" t="e">
        <f>IF(IF(COUNTIF(BG4:BG244,BG240)&gt;=MAX(D4:D8),BG240+5,BG240)&gt;50,"",IF(COUNTIF(BG4:BG244,BG240)&gt;=MAX(D4:D8),BG240+5,BG240))</f>
        <v>#VALUE!</v>
      </c>
      <c r="BH245" s="76" t="e">
        <f>IF(BG245="","",VLOOKUP(BG245,S4:U53,3,0))</f>
        <v>#VALUE!</v>
      </c>
      <c r="BI245" s="8" t="str">
        <f t="shared" si="170"/>
        <v/>
      </c>
      <c r="BP245" s="71" t="e">
        <f>IF(BT245="","",BT245*10+2)</f>
        <v>#VALUE!</v>
      </c>
      <c r="BQ245" s="71" t="str">
        <f>IF(OR(COUNTBLANK(BT245)=1,ISERROR(BT245)),"",COUNT(BT4:BT245))</f>
        <v/>
      </c>
      <c r="BR245" s="7" t="e">
        <f t="shared" si="172"/>
        <v>#VALUE!</v>
      </c>
      <c r="BS245" s="1" t="str">
        <f t="shared" si="173"/>
        <v/>
      </c>
      <c r="BT245" s="79" t="e">
        <f>IF(IF(COUNTIF($BT$4:BT244,BT244)&gt;=MAX($D$4:$D$8),BT244+1,BT244)&gt;55,"",IF(COUNTIF($BT$4:BT244,BT244)&gt;=MAX($D$4:$D$8),BT244+1,BT244))</f>
        <v>#VALUE!</v>
      </c>
      <c r="BU245" s="1" t="e">
        <f t="shared" si="174"/>
        <v>#VALUE!</v>
      </c>
      <c r="BV245" s="8" t="str">
        <f t="shared" si="175"/>
        <v/>
      </c>
      <c r="BX245" s="71" t="e">
        <f t="shared" si="176"/>
        <v>#VALUE!</v>
      </c>
      <c r="BY245" s="71" t="str">
        <f>IF(OR(COUNTBLANK(CB245)=1,ISERROR(CB245)),"",COUNT($CB$4:CB245))</f>
        <v/>
      </c>
      <c r="BZ245" s="7" t="e">
        <f t="shared" si="177"/>
        <v>#VALUE!</v>
      </c>
      <c r="CA245" s="1" t="str">
        <f t="shared" si="178"/>
        <v/>
      </c>
      <c r="CB245" s="79" t="e">
        <f>IF(IF(COUNTIF($CB$4:CB244,CB243)&gt;=MAX($D$4:$D$8),CB243+2,CB243)&gt;55,"",IF(COUNTIF($CB$4:CB244,CB243)&gt;=MAX($D$4:$D$8),CB243+2,CB243))</f>
        <v>#VALUE!</v>
      </c>
      <c r="CC245" s="1" t="e">
        <f t="shared" si="179"/>
        <v>#VALUE!</v>
      </c>
      <c r="CD245" s="8" t="str">
        <f t="shared" si="180"/>
        <v/>
      </c>
      <c r="CF245" s="71" t="e">
        <f t="shared" si="193"/>
        <v>#VALUE!</v>
      </c>
      <c r="CG245" s="71" t="str">
        <f>IF(OR(COUNTBLANK(CJ245)=1,ISERROR(CJ245)),"",COUNT($CJ$4:CJ245))</f>
        <v/>
      </c>
      <c r="CH245" s="7" t="e">
        <f t="shared" si="194"/>
        <v>#VALUE!</v>
      </c>
      <c r="CI245" s="1" t="str">
        <f t="shared" si="195"/>
        <v/>
      </c>
      <c r="CJ245" s="79" t="e">
        <f>IF(IF(COUNTIF($CJ$4:CJ244,CJ242)&gt;=MAX($D$4:$D$8),CJ242+3,CJ242)&gt;55,"",IF(COUNTIF($CJ$4:CJ244,CJ242)&gt;=MAX($D$4:$D$8),CJ242+3,CJ242))</f>
        <v>#VALUE!</v>
      </c>
      <c r="CK245" s="1" t="e">
        <f t="shared" si="181"/>
        <v>#VALUE!</v>
      </c>
      <c r="CL245" s="8" t="str">
        <f t="shared" si="196"/>
        <v/>
      </c>
      <c r="CN245" s="71" t="e">
        <f t="shared" si="187"/>
        <v>#VALUE!</v>
      </c>
      <c r="CO245" s="71" t="str">
        <f>IF(OR(COUNTBLANK(CR245)=1,ISERROR(CR245)),"",COUNT($CR$4:CR245))</f>
        <v/>
      </c>
      <c r="CP245" s="7" t="e">
        <f t="shared" si="188"/>
        <v>#VALUE!</v>
      </c>
      <c r="CQ245" s="1" t="str">
        <f t="shared" si="189"/>
        <v/>
      </c>
      <c r="CR245" s="79" t="e">
        <f>IF(IF(COUNTIF($CR$4:CR244,CR241)&gt;=MAX($D$4:$D$8),CR241+4,CR241)&gt;55,"",IF(COUNTIF($CR$4:CR244,CR241)&gt;=MAX($D$4:$D$8),CR241+4,CR241))</f>
        <v>#VALUE!</v>
      </c>
      <c r="CS245" s="1" t="e">
        <f t="shared" si="182"/>
        <v>#VALUE!</v>
      </c>
      <c r="CT245" s="8" t="str">
        <f t="shared" si="190"/>
        <v/>
      </c>
      <c r="CV245" s="71" t="e">
        <f t="shared" si="197"/>
        <v>#VALUE!</v>
      </c>
      <c r="CW245" s="71" t="str">
        <f>IF(OR(COUNTBLANK(CZ245)=1,ISERROR(CZ245)),"",COUNT($CZ$4:CZ245))</f>
        <v/>
      </c>
      <c r="CX245" s="7" t="e">
        <f t="shared" si="198"/>
        <v>#VALUE!</v>
      </c>
      <c r="CY245" s="1" t="str">
        <f t="shared" si="199"/>
        <v/>
      </c>
      <c r="CZ245" s="79" t="e">
        <f>IF(IF(COUNTIF($CZ$4:CZ244,CZ240)&gt;=MAX($D$4:$D$8),CZ240+5,CZ240)&gt;55,"",IF(COUNTIF($CZ$4:CZ244,CZ240)&gt;=MAX($D$4:$D$8),CZ240+5,CZ240))</f>
        <v>#VALUE!</v>
      </c>
      <c r="DA245" s="1" t="e">
        <f t="shared" si="183"/>
        <v>#VALUE!</v>
      </c>
      <c r="DB245" s="8" t="str">
        <f t="shared" si="200"/>
        <v/>
      </c>
    </row>
    <row r="246" spans="5:106" x14ac:dyDescent="0.15">
      <c r="E246" s="1">
        <v>243</v>
      </c>
      <c r="F246" s="1">
        <f t="shared" si="184"/>
        <v>1</v>
      </c>
      <c r="G246" s="1">
        <f t="shared" si="191"/>
        <v>1</v>
      </c>
      <c r="H246" s="1">
        <f t="shared" si="185"/>
        <v>1</v>
      </c>
      <c r="I246" s="1">
        <f t="shared" si="186"/>
        <v>1</v>
      </c>
      <c r="J246" s="1">
        <f t="shared" si="192"/>
        <v>1</v>
      </c>
      <c r="L246" s="1" t="str">
        <f>IF(ISERROR(HLOOKUP($C$10,$F$3:$J$253,244,0)),"",HLOOKUP($C$10,$F$3:$J$253,244,0))</f>
        <v/>
      </c>
      <c r="N246" s="67"/>
      <c r="W246" s="71" t="e">
        <f>IF(AA246="","",AA246*10+3)</f>
        <v>#VALUE!</v>
      </c>
      <c r="X246" s="71" t="str">
        <f>IF(OR(COUNTBLANK(AA246)=1,ISERROR(AA246)),"",COUNT(AA4:AA246))</f>
        <v/>
      </c>
      <c r="Y246" s="7" t="e">
        <f t="shared" si="157"/>
        <v>#VALUE!</v>
      </c>
      <c r="Z246" s="1" t="str">
        <f t="shared" si="171"/>
        <v/>
      </c>
      <c r="AA246" s="79" t="e">
        <f>IF(IF(COUNTIF(AA4:AA245,AA245)&gt;=MAX(D4:D8),AA245+1,AA245)&gt;50,"",IF(COUNTIF(AA4:AA245,AA245)&gt;=MAX(D4:D8),AA245+1,AA245))</f>
        <v>#VALUE!</v>
      </c>
      <c r="AB246" s="1" t="e">
        <f>IF(AA246="","",VLOOKUP(AA246,S4:U53,3,0))</f>
        <v>#VALUE!</v>
      </c>
      <c r="AC246" s="8" t="str">
        <f t="shared" si="158"/>
        <v/>
      </c>
      <c r="AE246" s="71" t="e">
        <f t="shared" si="159"/>
        <v>#VALUE!</v>
      </c>
      <c r="AF246" s="71" t="str">
        <f>IF(OR(COUNTBLANK(AI246)=1,ISERROR(AI246)),"",COUNT(AI4:AI246))</f>
        <v/>
      </c>
      <c r="AG246" s="7" t="e">
        <f t="shared" si="160"/>
        <v>#VALUE!</v>
      </c>
      <c r="AH246" s="1" t="str">
        <f>IF(ISERROR(INDEX(C4:C8,MATCH(G246,D4:D8,0))),"",INDEX(C4:C8,MATCH(G246,D4:D8,0)))</f>
        <v/>
      </c>
      <c r="AI246" s="79" t="e">
        <f>IF(IF(COUNTIF(AI4:AI245,AI244)&gt;=MAX(D4:D8),AI244+2,AI244)&gt;50,"",IF(COUNTIF(AI4:AI245,AI244)&gt;=MAX(D4:D8),AI244+2,AI244))</f>
        <v>#VALUE!</v>
      </c>
      <c r="AJ246" s="1" t="e">
        <f>IF(AI246="","",VLOOKUP(AI246,S4:U53,3,0))</f>
        <v>#VALUE!</v>
      </c>
      <c r="AK246" s="8" t="str">
        <f t="shared" si="161"/>
        <v/>
      </c>
      <c r="AM246" s="71" t="e">
        <f t="shared" si="162"/>
        <v>#VALUE!</v>
      </c>
      <c r="AN246" s="71" t="str">
        <f>IF(OR(COUNTBLANK(AQ246)=1,ISERROR(AQ246)),"",COUNT(AQ4:AQ246))</f>
        <v/>
      </c>
      <c r="AO246" s="7" t="e">
        <f t="shared" si="163"/>
        <v>#VALUE!</v>
      </c>
      <c r="AP246" s="1" t="str">
        <f>IF(ISERROR(INDEX(C4:C8,MATCH(H246,D4:D8,0))),"",INDEX(C4:C8,MATCH(H246,D4:D8,0)))</f>
        <v/>
      </c>
      <c r="AQ246" s="79" t="e">
        <f>IF(IF(COUNTIF(AQ4:AQ245,AQ243)&gt;=MAX(D4:D8),AQ243+3,AQ243)&gt;50,"",IF(COUNTIF(AQ4:AQ245,AQ243)&gt;=MAX(D4:D8),AQ243+3,AQ243))</f>
        <v>#VALUE!</v>
      </c>
      <c r="AR246" s="1" t="e">
        <f>IF(AQ246="","",VLOOKUP(AQ246,S4:U53,3,0))</f>
        <v>#VALUE!</v>
      </c>
      <c r="AS246" s="8" t="str">
        <f t="shared" si="164"/>
        <v/>
      </c>
      <c r="AU246" s="71" t="e">
        <f t="shared" si="165"/>
        <v>#VALUE!</v>
      </c>
      <c r="AV246" s="71" t="str">
        <f>IF(OR(COUNTBLANK(AY246)=1,ISERROR(AY246)),"",COUNT(AY4:AY246))</f>
        <v/>
      </c>
      <c r="AW246" s="7" t="e">
        <f t="shared" si="166"/>
        <v>#VALUE!</v>
      </c>
      <c r="AX246" s="1" t="str">
        <f>IF(ISERROR(INDEX(C4:C8,MATCH(I246,D4:D8,0))),"",INDEX(C4:C8,MATCH(I246,D4:D8,0)))</f>
        <v/>
      </c>
      <c r="AY246" s="79" t="e">
        <f>IF(IF(COUNTIF(AY4:AY245,AY242)&gt;=MAX(D4:D8),AY242+4,AY242)&gt;50,"",IF(COUNTIF(AY4:AY245,AY242)&gt;=MAX(D4:D8),AY242+4,AY242))</f>
        <v>#VALUE!</v>
      </c>
      <c r="AZ246" s="76" t="e">
        <f>IF(AY246="","",VLOOKUP(AY246,S4:U53,3,0))</f>
        <v>#VALUE!</v>
      </c>
      <c r="BA246" s="8" t="str">
        <f t="shared" si="167"/>
        <v/>
      </c>
      <c r="BC246" s="71" t="e">
        <f t="shared" si="168"/>
        <v>#VALUE!</v>
      </c>
      <c r="BD246" s="71" t="str">
        <f>IF(OR(COUNTBLANK(BG246)=1,ISERROR(BG246)),"",COUNT(BG4:BG246))</f>
        <v/>
      </c>
      <c r="BE246" s="7" t="e">
        <f t="shared" si="169"/>
        <v>#VALUE!</v>
      </c>
      <c r="BF246" s="1" t="str">
        <f>IF(ISERROR(INDEX(C4:C8,MATCH(J246,D4:D8,0))),"",INDEX(C4:C8,MATCH(J246,D4:D8,0)))</f>
        <v/>
      </c>
      <c r="BG246" s="79" t="e">
        <f>IF(IF(COUNTIF(BG4:BG245,BG241)&gt;=MAX(D4:D8),BG241+5,BG241)&gt;50,"",IF(COUNTIF(BG4:BG245,BG241)&gt;=MAX(D4:D8),BG241+5,BG241))</f>
        <v>#VALUE!</v>
      </c>
      <c r="BH246" s="76" t="e">
        <f>IF(BG246="","",VLOOKUP(BG246,S4:U53,3,0))</f>
        <v>#VALUE!</v>
      </c>
      <c r="BI246" s="8" t="str">
        <f t="shared" si="170"/>
        <v/>
      </c>
      <c r="BP246" s="71" t="e">
        <f>IF(BT246="","",BT246*10+3)</f>
        <v>#VALUE!</v>
      </c>
      <c r="BQ246" s="71" t="str">
        <f>IF(OR(COUNTBLANK(BT246)=1,ISERROR(BT246)),"",COUNT(BT4:BT246))</f>
        <v/>
      </c>
      <c r="BR246" s="7" t="e">
        <f t="shared" si="172"/>
        <v>#VALUE!</v>
      </c>
      <c r="BS246" s="1" t="str">
        <f t="shared" si="173"/>
        <v/>
      </c>
      <c r="BT246" s="79" t="e">
        <f>IF(IF(COUNTIF($BT$4:BT245,BT245)&gt;=MAX($D$4:$D$8),BT245+1,BT245)&gt;55,"",IF(COUNTIF($BT$4:BT245,BT245)&gt;=MAX($D$4:$D$8),BT245+1,BT245))</f>
        <v>#VALUE!</v>
      </c>
      <c r="BU246" s="1" t="e">
        <f t="shared" si="174"/>
        <v>#VALUE!</v>
      </c>
      <c r="BV246" s="8" t="str">
        <f t="shared" si="175"/>
        <v/>
      </c>
      <c r="BX246" s="71" t="e">
        <f t="shared" si="176"/>
        <v>#VALUE!</v>
      </c>
      <c r="BY246" s="71" t="str">
        <f>IF(OR(COUNTBLANK(CB246)=1,ISERROR(CB246)),"",COUNT($CB$4:CB246))</f>
        <v/>
      </c>
      <c r="BZ246" s="7" t="e">
        <f t="shared" si="177"/>
        <v>#VALUE!</v>
      </c>
      <c r="CA246" s="1" t="str">
        <f t="shared" si="178"/>
        <v/>
      </c>
      <c r="CB246" s="79" t="e">
        <f>IF(IF(COUNTIF($CB$4:CB245,CB244)&gt;=MAX($D$4:$D$8),CB244+2,CB244)&gt;55,"",IF(COUNTIF($CB$4:CB245,CB244)&gt;=MAX($D$4:$D$8),CB244+2,CB244))</f>
        <v>#VALUE!</v>
      </c>
      <c r="CC246" s="1" t="e">
        <f t="shared" si="179"/>
        <v>#VALUE!</v>
      </c>
      <c r="CD246" s="8" t="str">
        <f t="shared" si="180"/>
        <v/>
      </c>
      <c r="CF246" s="71" t="e">
        <f t="shared" si="193"/>
        <v>#VALUE!</v>
      </c>
      <c r="CG246" s="71" t="str">
        <f>IF(OR(COUNTBLANK(CJ246)=1,ISERROR(CJ246)),"",COUNT($CJ$4:CJ246))</f>
        <v/>
      </c>
      <c r="CH246" s="7" t="e">
        <f t="shared" si="194"/>
        <v>#VALUE!</v>
      </c>
      <c r="CI246" s="1" t="str">
        <f t="shared" si="195"/>
        <v/>
      </c>
      <c r="CJ246" s="79" t="e">
        <f>IF(IF(COUNTIF($CJ$4:CJ245,CJ243)&gt;=MAX($D$4:$D$8),CJ243+3,CJ243)&gt;55,"",IF(COUNTIF($CJ$4:CJ245,CJ243)&gt;=MAX($D$4:$D$8),CJ243+3,CJ243))</f>
        <v>#VALUE!</v>
      </c>
      <c r="CK246" s="1" t="e">
        <f t="shared" si="181"/>
        <v>#VALUE!</v>
      </c>
      <c r="CL246" s="8" t="str">
        <f t="shared" si="196"/>
        <v/>
      </c>
      <c r="CN246" s="71" t="e">
        <f t="shared" si="187"/>
        <v>#VALUE!</v>
      </c>
      <c r="CO246" s="71" t="str">
        <f>IF(OR(COUNTBLANK(CR246)=1,ISERROR(CR246)),"",COUNT($CR$4:CR246))</f>
        <v/>
      </c>
      <c r="CP246" s="7" t="e">
        <f t="shared" si="188"/>
        <v>#VALUE!</v>
      </c>
      <c r="CQ246" s="1" t="str">
        <f t="shared" si="189"/>
        <v/>
      </c>
      <c r="CR246" s="79" t="e">
        <f>IF(IF(COUNTIF($CR$4:CR245,CR242)&gt;=MAX($D$4:$D$8),CR242+4,CR242)&gt;55,"",IF(COUNTIF($CR$4:CR245,CR242)&gt;=MAX($D$4:$D$8),CR242+4,CR242))</f>
        <v>#VALUE!</v>
      </c>
      <c r="CS246" s="1" t="e">
        <f t="shared" si="182"/>
        <v>#VALUE!</v>
      </c>
      <c r="CT246" s="8" t="str">
        <f t="shared" si="190"/>
        <v/>
      </c>
      <c r="CV246" s="71" t="e">
        <f t="shared" si="197"/>
        <v>#VALUE!</v>
      </c>
      <c r="CW246" s="71" t="str">
        <f>IF(OR(COUNTBLANK(CZ246)=1,ISERROR(CZ246)),"",COUNT($CZ$4:CZ246))</f>
        <v/>
      </c>
      <c r="CX246" s="7" t="e">
        <f t="shared" si="198"/>
        <v>#VALUE!</v>
      </c>
      <c r="CY246" s="1" t="str">
        <f t="shared" si="199"/>
        <v/>
      </c>
      <c r="CZ246" s="79" t="e">
        <f>IF(IF(COUNTIF($CZ$4:CZ245,CZ241)&gt;=MAX($D$4:$D$8),CZ241+5,CZ241)&gt;55,"",IF(COUNTIF($CZ$4:CZ245,CZ241)&gt;=MAX($D$4:$D$8),CZ241+5,CZ241))</f>
        <v>#VALUE!</v>
      </c>
      <c r="DA246" s="1" t="e">
        <f t="shared" si="183"/>
        <v>#VALUE!</v>
      </c>
      <c r="DB246" s="8" t="str">
        <f t="shared" si="200"/>
        <v/>
      </c>
    </row>
    <row r="247" spans="5:106" x14ac:dyDescent="0.15">
      <c r="E247" s="1">
        <v>244</v>
      </c>
      <c r="F247" s="1">
        <f t="shared" si="184"/>
        <v>1</v>
      </c>
      <c r="G247" s="1">
        <f t="shared" si="191"/>
        <v>1</v>
      </c>
      <c r="H247" s="1">
        <f t="shared" si="185"/>
        <v>1</v>
      </c>
      <c r="I247" s="1">
        <f t="shared" si="186"/>
        <v>1</v>
      </c>
      <c r="J247" s="1">
        <f t="shared" si="192"/>
        <v>1</v>
      </c>
      <c r="L247" s="1" t="str">
        <f>IF(ISERROR(HLOOKUP($C$10,$F$3:$J$253,245,0)),"",HLOOKUP($C$10,$F$3:$J$253,245,0))</f>
        <v/>
      </c>
      <c r="N247" s="67"/>
      <c r="W247" s="71" t="e">
        <f>IF(AA247="","",AA247*10+4)</f>
        <v>#VALUE!</v>
      </c>
      <c r="X247" s="71" t="str">
        <f>IF(OR(COUNTBLANK(AA247)=1,ISERROR(AA247)),"",COUNT(AA4:AA247))</f>
        <v/>
      </c>
      <c r="Y247" s="7" t="e">
        <f t="shared" si="157"/>
        <v>#VALUE!</v>
      </c>
      <c r="Z247" s="1" t="str">
        <f t="shared" si="171"/>
        <v/>
      </c>
      <c r="AA247" s="79" t="e">
        <f>IF(IF(COUNTIF(AA4:AA246,AA246)&gt;=MAX(D4:D8),AA246+1,AA246)&gt;50,"",IF(COUNTIF(AA4:AA246,AA246)&gt;=MAX(D4:D8),AA246+1,AA246))</f>
        <v>#VALUE!</v>
      </c>
      <c r="AB247" s="1" t="e">
        <f>IF(AA247="","",VLOOKUP(AA247,S4:U53,3,0))</f>
        <v>#VALUE!</v>
      </c>
      <c r="AC247" s="8" t="str">
        <f t="shared" si="158"/>
        <v/>
      </c>
      <c r="AE247" s="71" t="e">
        <f t="shared" si="159"/>
        <v>#VALUE!</v>
      </c>
      <c r="AF247" s="71" t="str">
        <f>IF(OR(COUNTBLANK(AI247)=1,ISERROR(AI247)),"",COUNT(AI4:AI247))</f>
        <v/>
      </c>
      <c r="AG247" s="7" t="e">
        <f t="shared" si="160"/>
        <v>#VALUE!</v>
      </c>
      <c r="AH247" s="1" t="str">
        <f>IF(ISERROR(INDEX(C4:C8,MATCH(G247,D4:D8,0))),"",INDEX(C4:C8,MATCH(G247,D4:D8,0)))</f>
        <v/>
      </c>
      <c r="AI247" s="79" t="e">
        <f>IF(IF(COUNTIF(AI4:AI245,AI245)&gt;=MAX(D4:D8),AI245+2,AI245)&gt;50,"",IF(COUNTIF(AI4:AI245,AI245)&gt;=MAX(D4:D8),AI245+2,AI245))</f>
        <v>#VALUE!</v>
      </c>
      <c r="AJ247" s="1" t="e">
        <f>IF(AI247="","",VLOOKUP(AI247,S4:U53,3,0))</f>
        <v>#VALUE!</v>
      </c>
      <c r="AK247" s="8" t="str">
        <f t="shared" si="161"/>
        <v/>
      </c>
      <c r="AM247" s="71" t="e">
        <f t="shared" si="162"/>
        <v>#VALUE!</v>
      </c>
      <c r="AN247" s="71" t="str">
        <f>IF(OR(COUNTBLANK(AQ247)=1,ISERROR(AQ247)),"",COUNT(AQ4:AQ247))</f>
        <v/>
      </c>
      <c r="AO247" s="7" t="e">
        <f t="shared" si="163"/>
        <v>#VALUE!</v>
      </c>
      <c r="AP247" s="1" t="str">
        <f>IF(ISERROR(INDEX(C4:C8,MATCH(H247,D4:D8,0))),"",INDEX(C4:C8,MATCH(H247,D4:D8,0)))</f>
        <v/>
      </c>
      <c r="AQ247" s="79" t="e">
        <f>IF(IF(COUNTIF(AQ4:AQ246,AQ244)&gt;=MAX(D4:D8),AQ244+3,AQ244)&gt;50,"",IF(COUNTIF(AQ4:AQ246,AQ244)&gt;=MAX(D4:D8),AQ244+3,AQ244))</f>
        <v>#VALUE!</v>
      </c>
      <c r="AR247" s="1" t="e">
        <f>IF(AQ247="","",VLOOKUP(AQ247,S4:U53,3,0))</f>
        <v>#VALUE!</v>
      </c>
      <c r="AS247" s="8" t="str">
        <f t="shared" si="164"/>
        <v/>
      </c>
      <c r="AU247" s="71" t="e">
        <f t="shared" si="165"/>
        <v>#VALUE!</v>
      </c>
      <c r="AV247" s="71" t="str">
        <f>IF(OR(COUNTBLANK(AY247)=1,ISERROR(AY247)),"",COUNT(AY4:AY247))</f>
        <v/>
      </c>
      <c r="AW247" s="7" t="e">
        <f t="shared" si="166"/>
        <v>#VALUE!</v>
      </c>
      <c r="AX247" s="1" t="str">
        <f>IF(ISERROR(INDEX(C4:C8,MATCH(I247,D4:D8,0))),"",INDEX(C4:C8,MATCH(I247,D4:D8,0)))</f>
        <v/>
      </c>
      <c r="AY247" s="79" t="e">
        <f>IF(IF(COUNTIF(AY4:AY246,AY243)&gt;=MAX(D4:D8),AY243+4,AY243)&gt;50,"",IF(COUNTIF(AY4:AY246,AY243)&gt;=MAX(D4:D8),AY243+4,AY243))</f>
        <v>#VALUE!</v>
      </c>
      <c r="AZ247" s="76" t="e">
        <f>IF(AY247="","",VLOOKUP(AY247,S4:U53,3,0))</f>
        <v>#VALUE!</v>
      </c>
      <c r="BA247" s="8" t="str">
        <f t="shared" si="167"/>
        <v/>
      </c>
      <c r="BC247" s="71" t="e">
        <f t="shared" si="168"/>
        <v>#VALUE!</v>
      </c>
      <c r="BD247" s="71" t="str">
        <f>IF(OR(COUNTBLANK(BG247)=1,ISERROR(BG247)),"",COUNT(BG4:BG247))</f>
        <v/>
      </c>
      <c r="BE247" s="7" t="e">
        <f t="shared" si="169"/>
        <v>#VALUE!</v>
      </c>
      <c r="BF247" s="1" t="str">
        <f>IF(ISERROR(INDEX(C4:C8,MATCH(J247,D4:D8,0))),"",INDEX(C4:C8,MATCH(J247,D4:D8,0)))</f>
        <v/>
      </c>
      <c r="BG247" s="79" t="e">
        <f>IF(IF(COUNTIF(BG4:BG246,BG242)&gt;=MAX(D4:D8),BG242+5,BG242)&gt;50,"",IF(COUNTIF(BG4:BG246,BG242)&gt;=MAX(D4:D8),BG242+5,BG242))</f>
        <v>#VALUE!</v>
      </c>
      <c r="BH247" s="76" t="e">
        <f>IF(BG247="","",VLOOKUP(BG247,S4:U53,3,0))</f>
        <v>#VALUE!</v>
      </c>
      <c r="BI247" s="8" t="str">
        <f t="shared" si="170"/>
        <v/>
      </c>
      <c r="BP247" s="71" t="e">
        <f>IF(BT247="","",BT247*10+4)</f>
        <v>#VALUE!</v>
      </c>
      <c r="BQ247" s="71" t="str">
        <f>IF(OR(COUNTBLANK(BT247)=1,ISERROR(BT247)),"",COUNT(BT4:BT247))</f>
        <v/>
      </c>
      <c r="BR247" s="7" t="e">
        <f t="shared" si="172"/>
        <v>#VALUE!</v>
      </c>
      <c r="BS247" s="1" t="str">
        <f t="shared" si="173"/>
        <v/>
      </c>
      <c r="BT247" s="79" t="e">
        <f>IF(IF(COUNTIF($BT$4:BT246,BT246)&gt;=MAX($D$4:$D$8),BT246+1,BT246)&gt;55,"",IF(COUNTIF($BT$4:BT246,BT246)&gt;=MAX($D$4:$D$8),BT246+1,BT246))</f>
        <v>#VALUE!</v>
      </c>
      <c r="BU247" s="1" t="e">
        <f t="shared" si="174"/>
        <v>#VALUE!</v>
      </c>
      <c r="BV247" s="8" t="str">
        <f t="shared" si="175"/>
        <v/>
      </c>
      <c r="BX247" s="71" t="e">
        <f t="shared" si="176"/>
        <v>#VALUE!</v>
      </c>
      <c r="BY247" s="71" t="str">
        <f>IF(OR(COUNTBLANK(CB247)=1,ISERROR(CB247)),"",COUNT($CB$4:CB247))</f>
        <v/>
      </c>
      <c r="BZ247" s="7" t="e">
        <f t="shared" si="177"/>
        <v>#VALUE!</v>
      </c>
      <c r="CA247" s="1" t="str">
        <f t="shared" si="178"/>
        <v/>
      </c>
      <c r="CB247" s="79" t="e">
        <f>IF(IF(COUNTIF($CB$4:CB246,CB245)&gt;=MAX($D$4:$D$8),CB245+2,CB245)&gt;55,"",IF(COUNTIF($CB$4:CB246,CB245)&gt;=MAX($D$4:$D$8),CB245+2,CB245))</f>
        <v>#VALUE!</v>
      </c>
      <c r="CC247" s="1" t="e">
        <f t="shared" si="179"/>
        <v>#VALUE!</v>
      </c>
      <c r="CD247" s="8" t="str">
        <f t="shared" si="180"/>
        <v/>
      </c>
      <c r="CF247" s="71" t="e">
        <f t="shared" si="193"/>
        <v>#VALUE!</v>
      </c>
      <c r="CG247" s="71" t="str">
        <f>IF(OR(COUNTBLANK(CJ247)=1,ISERROR(CJ247)),"",COUNT($CJ$4:CJ247))</f>
        <v/>
      </c>
      <c r="CH247" s="7" t="e">
        <f t="shared" si="194"/>
        <v>#VALUE!</v>
      </c>
      <c r="CI247" s="1" t="str">
        <f t="shared" si="195"/>
        <v/>
      </c>
      <c r="CJ247" s="79" t="e">
        <f>IF(IF(COUNTIF($CJ$4:CJ246,CJ244)&gt;=MAX($D$4:$D$8),CJ244+3,CJ244)&gt;55,"",IF(COUNTIF($CJ$4:CJ246,CJ244)&gt;=MAX($D$4:$D$8),CJ244+3,CJ244))</f>
        <v>#VALUE!</v>
      </c>
      <c r="CK247" s="1" t="e">
        <f t="shared" si="181"/>
        <v>#VALUE!</v>
      </c>
      <c r="CL247" s="8" t="str">
        <f t="shared" si="196"/>
        <v/>
      </c>
      <c r="CN247" s="71" t="e">
        <f t="shared" si="187"/>
        <v>#VALUE!</v>
      </c>
      <c r="CO247" s="71" t="str">
        <f>IF(OR(COUNTBLANK(CR247)=1,ISERROR(CR247)),"",COUNT($CR$4:CR247))</f>
        <v/>
      </c>
      <c r="CP247" s="7" t="e">
        <f t="shared" si="188"/>
        <v>#VALUE!</v>
      </c>
      <c r="CQ247" s="1" t="str">
        <f t="shared" si="189"/>
        <v/>
      </c>
      <c r="CR247" s="79" t="e">
        <f>IF(IF(COUNTIF($CR$4:CR246,CR243)&gt;=MAX($D$4:$D$8),CR243+4,CR243)&gt;55,"",IF(COUNTIF($CR$4:CR246,CR243)&gt;=MAX($D$4:$D$8),CR243+4,CR243))</f>
        <v>#VALUE!</v>
      </c>
      <c r="CS247" s="1" t="e">
        <f t="shared" si="182"/>
        <v>#VALUE!</v>
      </c>
      <c r="CT247" s="8" t="str">
        <f t="shared" si="190"/>
        <v/>
      </c>
      <c r="CV247" s="71" t="e">
        <f t="shared" si="197"/>
        <v>#VALUE!</v>
      </c>
      <c r="CW247" s="71" t="str">
        <f>IF(OR(COUNTBLANK(CZ247)=1,ISERROR(CZ247)),"",COUNT($CZ$4:CZ247))</f>
        <v/>
      </c>
      <c r="CX247" s="7" t="e">
        <f t="shared" si="198"/>
        <v>#VALUE!</v>
      </c>
      <c r="CY247" s="1" t="str">
        <f t="shared" si="199"/>
        <v/>
      </c>
      <c r="CZ247" s="79" t="e">
        <f>IF(IF(COUNTIF($CZ$4:CZ246,CZ242)&gt;=MAX($D$4:$D$8),CZ242+5,CZ242)&gt;55,"",IF(COUNTIF($CZ$4:CZ246,CZ242)&gt;=MAX($D$4:$D$8),CZ242+5,CZ242))</f>
        <v>#VALUE!</v>
      </c>
      <c r="DA247" s="1" t="e">
        <f t="shared" si="183"/>
        <v>#VALUE!</v>
      </c>
      <c r="DB247" s="8" t="str">
        <f t="shared" si="200"/>
        <v/>
      </c>
    </row>
    <row r="248" spans="5:106" x14ac:dyDescent="0.15">
      <c r="E248" s="1">
        <v>245</v>
      </c>
      <c r="F248" s="1">
        <f t="shared" si="184"/>
        <v>1</v>
      </c>
      <c r="G248" s="1">
        <f t="shared" si="191"/>
        <v>1</v>
      </c>
      <c r="H248" s="1">
        <f t="shared" si="185"/>
        <v>1</v>
      </c>
      <c r="I248" s="1">
        <f t="shared" si="186"/>
        <v>1</v>
      </c>
      <c r="J248" s="1">
        <f t="shared" si="192"/>
        <v>1</v>
      </c>
      <c r="L248" s="1" t="str">
        <f>IF(ISERROR(HLOOKUP($C$10,$F$3:$J$253,246,0)),"",HLOOKUP($C$10,$F$3:$J$253,246,0))</f>
        <v/>
      </c>
      <c r="N248" s="67"/>
      <c r="W248" s="71" t="e">
        <f>IF(AA248="","",AA248*10+5)</f>
        <v>#VALUE!</v>
      </c>
      <c r="X248" s="71" t="str">
        <f>IF(OR(COUNTBLANK(AA248)=1,ISERROR(AA248)),"",COUNT(AA4:AA248))</f>
        <v/>
      </c>
      <c r="Y248" s="7" t="e">
        <f t="shared" si="157"/>
        <v>#VALUE!</v>
      </c>
      <c r="Z248" s="1" t="str">
        <f t="shared" si="171"/>
        <v/>
      </c>
      <c r="AA248" s="79" t="e">
        <f>IF(IF(COUNTIF(AA4:AA247,AA247)&gt;=MAX(D4:D8),AA247+1,AA247)&gt;50,"",IF(COUNTIF(AA4:AA247,AA247)&gt;=MAX(D4:D8),AA247+1,AA247))</f>
        <v>#VALUE!</v>
      </c>
      <c r="AB248" s="1" t="e">
        <f>IF(AA248="","",VLOOKUP(AA248,S4:U53,3,0))</f>
        <v>#VALUE!</v>
      </c>
      <c r="AC248" s="8" t="str">
        <f t="shared" si="158"/>
        <v/>
      </c>
      <c r="AE248" s="71" t="e">
        <f t="shared" si="159"/>
        <v>#VALUE!</v>
      </c>
      <c r="AF248" s="71" t="str">
        <f>IF(OR(COUNTBLANK(AI248)=1,ISERROR(AI248)),"",COUNT(AI4:AI248))</f>
        <v/>
      </c>
      <c r="AG248" s="7" t="e">
        <f t="shared" si="160"/>
        <v>#VALUE!</v>
      </c>
      <c r="AH248" s="1" t="str">
        <f>IF(ISERROR(INDEX(C4:C8,MATCH(G248,D4:D8,0))),"",INDEX(C4:C8,MATCH(G248,D4:D8,0)))</f>
        <v/>
      </c>
      <c r="AI248" s="79" t="e">
        <f>IF(IF(COUNTIF(AI4:AI247,AI246)&gt;=MAX(D4:D8),AI246+2,AI246)&gt;50,"",IF(COUNTIF(AI4:AI247,AI246)&gt;=MAX(D4:D8),AI246+2,AI246))</f>
        <v>#VALUE!</v>
      </c>
      <c r="AJ248" s="1" t="e">
        <f>IF(AI248="","",VLOOKUP(AI248,S4:U53,3,0))</f>
        <v>#VALUE!</v>
      </c>
      <c r="AK248" s="8" t="str">
        <f t="shared" si="161"/>
        <v/>
      </c>
      <c r="AM248" s="71" t="e">
        <f t="shared" si="162"/>
        <v>#VALUE!</v>
      </c>
      <c r="AN248" s="71" t="str">
        <f>IF(OR(COUNTBLANK(AQ248)=1,ISERROR(AQ248)),"",COUNT(AQ4:AQ248))</f>
        <v/>
      </c>
      <c r="AO248" s="7" t="e">
        <f t="shared" si="163"/>
        <v>#VALUE!</v>
      </c>
      <c r="AP248" s="1" t="str">
        <f>IF(ISERROR(INDEX(C4:C8,MATCH(H248,D4:D8,0))),"",INDEX(C4:C8,MATCH(H248,D4:D8,0)))</f>
        <v/>
      </c>
      <c r="AQ248" s="79" t="e">
        <f>IF(IF(COUNTIF(AQ4:AQ247,AQ245)&gt;=MAX(D4:D8),AQ245+3,AQ245)&gt;50,"",IF(COUNTIF(AQ4:AQ247,AQ245)&gt;=MAX(D4:D8),AQ245+3,AQ245))</f>
        <v>#VALUE!</v>
      </c>
      <c r="AR248" s="1" t="e">
        <f>IF(AQ248="","",VLOOKUP(AQ248,S4:U53,3,0))</f>
        <v>#VALUE!</v>
      </c>
      <c r="AS248" s="8" t="str">
        <f t="shared" si="164"/>
        <v/>
      </c>
      <c r="AU248" s="71" t="e">
        <f t="shared" si="165"/>
        <v>#VALUE!</v>
      </c>
      <c r="AV248" s="71" t="str">
        <f>IF(OR(COUNTBLANK(AY248)=1,ISERROR(AY248)),"",COUNT(AY4:AY248))</f>
        <v/>
      </c>
      <c r="AW248" s="7" t="e">
        <f t="shared" si="166"/>
        <v>#VALUE!</v>
      </c>
      <c r="AX248" s="1" t="str">
        <f>IF(ISERROR(INDEX(C4:C8,MATCH(I248,D4:D8,0))),"",INDEX(C4:C8,MATCH(I248,D4:D8,0)))</f>
        <v/>
      </c>
      <c r="AY248" s="79" t="e">
        <f>IF(IF(COUNTIF(AY4:AY247,AY244)&gt;=MAX(D4:D8),AY244+4,AY244)&gt;50,"",IF(COUNTIF(AY4:AY247,AY244)&gt;=MAX(D4:D8),AY244+4,AY244))</f>
        <v>#VALUE!</v>
      </c>
      <c r="AZ248" s="76" t="e">
        <f>IF(AY248="","",VLOOKUP(AY248,S4:U53,3,0))</f>
        <v>#VALUE!</v>
      </c>
      <c r="BA248" s="8" t="str">
        <f t="shared" si="167"/>
        <v/>
      </c>
      <c r="BC248" s="71" t="e">
        <f t="shared" si="168"/>
        <v>#VALUE!</v>
      </c>
      <c r="BD248" s="71" t="str">
        <f>IF(OR(COUNTBLANK(BG248)=1,ISERROR(BG248)),"",COUNT(BG4:BG248))</f>
        <v/>
      </c>
      <c r="BE248" s="7" t="e">
        <f t="shared" si="169"/>
        <v>#VALUE!</v>
      </c>
      <c r="BF248" s="1" t="str">
        <f>IF(ISERROR(INDEX(C4:C8,MATCH(J248,D4:D8,0))),"",INDEX(C4:C8,MATCH(J248,D4:D8,0)))</f>
        <v/>
      </c>
      <c r="BG248" s="79" t="e">
        <f>IF(IF(COUNTIF(BG4:BG247,BG243)&gt;=MAX(D4:D8),BG243+5,BG243)&gt;50,"",IF(COUNTIF(BG4:BG247,BG243)&gt;=MAX(D4:D8),BG243+5,BG243))</f>
        <v>#VALUE!</v>
      </c>
      <c r="BH248" s="76" t="e">
        <f>IF(BG248="","",VLOOKUP(BG248,S4:U53,3,0))</f>
        <v>#VALUE!</v>
      </c>
      <c r="BI248" s="8" t="str">
        <f t="shared" si="170"/>
        <v/>
      </c>
      <c r="BP248" s="71" t="e">
        <f>IF(BT248="","",BT248*10+5)</f>
        <v>#VALUE!</v>
      </c>
      <c r="BQ248" s="71" t="str">
        <f>IF(OR(COUNTBLANK(BT248)=1,ISERROR(BT248)),"",COUNT(BT4:BT248))</f>
        <v/>
      </c>
      <c r="BR248" s="7" t="e">
        <f t="shared" si="172"/>
        <v>#VALUE!</v>
      </c>
      <c r="BS248" s="1" t="str">
        <f t="shared" si="173"/>
        <v/>
      </c>
      <c r="BT248" s="79" t="e">
        <f>IF(IF(COUNTIF($BT$4:BT247,BT247)&gt;=MAX($D$4:$D$8),BT247+1,BT247)&gt;55,"",IF(COUNTIF($BT$4:BT247,BT247)&gt;=MAX($D$4:$D$8),BT247+1,BT247))</f>
        <v>#VALUE!</v>
      </c>
      <c r="BU248" s="1" t="e">
        <f t="shared" si="174"/>
        <v>#VALUE!</v>
      </c>
      <c r="BV248" s="8" t="str">
        <f t="shared" si="175"/>
        <v/>
      </c>
      <c r="BX248" s="71" t="e">
        <f t="shared" si="176"/>
        <v>#VALUE!</v>
      </c>
      <c r="BY248" s="71" t="str">
        <f>IF(OR(COUNTBLANK(CB248)=1,ISERROR(CB248)),"",COUNT($CB$4:CB248))</f>
        <v/>
      </c>
      <c r="BZ248" s="7" t="e">
        <f t="shared" si="177"/>
        <v>#VALUE!</v>
      </c>
      <c r="CA248" s="1" t="str">
        <f t="shared" si="178"/>
        <v/>
      </c>
      <c r="CB248" s="79" t="e">
        <f>IF(IF(COUNTIF($CB$4:CB247,CB246)&gt;=MAX($D$4:$D$8),CB246+2,CB246)&gt;55,"",IF(COUNTIF($CB$4:CB247,CB246)&gt;=MAX($D$4:$D$8),CB246+2,CB246))</f>
        <v>#VALUE!</v>
      </c>
      <c r="CC248" s="1" t="e">
        <f t="shared" si="179"/>
        <v>#VALUE!</v>
      </c>
      <c r="CD248" s="8" t="str">
        <f t="shared" si="180"/>
        <v/>
      </c>
      <c r="CF248" s="71" t="e">
        <f t="shared" si="193"/>
        <v>#VALUE!</v>
      </c>
      <c r="CG248" s="71" t="str">
        <f>IF(OR(COUNTBLANK(CJ248)=1,ISERROR(CJ248)),"",COUNT($CJ$4:CJ248))</f>
        <v/>
      </c>
      <c r="CH248" s="7" t="e">
        <f t="shared" si="194"/>
        <v>#VALUE!</v>
      </c>
      <c r="CI248" s="1" t="str">
        <f t="shared" si="195"/>
        <v/>
      </c>
      <c r="CJ248" s="79" t="e">
        <f>IF(IF(COUNTIF($CJ$4:CJ247,CJ245)&gt;=MAX($D$4:$D$8),CJ245+3,CJ245)&gt;55,"",IF(COUNTIF($CJ$4:CJ247,CJ245)&gt;=MAX($D$4:$D$8),CJ245+3,CJ245))</f>
        <v>#VALUE!</v>
      </c>
      <c r="CK248" s="1" t="e">
        <f t="shared" si="181"/>
        <v>#VALUE!</v>
      </c>
      <c r="CL248" s="8" t="str">
        <f t="shared" si="196"/>
        <v/>
      </c>
      <c r="CN248" s="71" t="e">
        <f t="shared" si="187"/>
        <v>#VALUE!</v>
      </c>
      <c r="CO248" s="71" t="str">
        <f>IF(OR(COUNTBLANK(CR248)=1,ISERROR(CR248)),"",COUNT($CR$4:CR248))</f>
        <v/>
      </c>
      <c r="CP248" s="7" t="e">
        <f t="shared" si="188"/>
        <v>#VALUE!</v>
      </c>
      <c r="CQ248" s="1" t="str">
        <f t="shared" si="189"/>
        <v/>
      </c>
      <c r="CR248" s="79" t="e">
        <f>IF(IF(COUNTIF($CR$4:CR247,CR244)&gt;=MAX($D$4:$D$8),CR244+4,CR244)&gt;55,"",IF(COUNTIF($CR$4:CR247,CR244)&gt;=MAX($D$4:$D$8),CR244+4,CR244))</f>
        <v>#VALUE!</v>
      </c>
      <c r="CS248" s="1" t="e">
        <f t="shared" si="182"/>
        <v>#VALUE!</v>
      </c>
      <c r="CT248" s="8" t="str">
        <f t="shared" si="190"/>
        <v/>
      </c>
      <c r="CV248" s="71" t="e">
        <f t="shared" si="197"/>
        <v>#VALUE!</v>
      </c>
      <c r="CW248" s="71" t="str">
        <f>IF(OR(COUNTBLANK(CZ248)=1,ISERROR(CZ248)),"",COUNT($CZ$4:CZ248))</f>
        <v/>
      </c>
      <c r="CX248" s="7" t="e">
        <f t="shared" si="198"/>
        <v>#VALUE!</v>
      </c>
      <c r="CY248" s="1" t="str">
        <f t="shared" si="199"/>
        <v/>
      </c>
      <c r="CZ248" s="79" t="e">
        <f>IF(IF(COUNTIF($CZ$4:CZ247,CZ243)&gt;=MAX($D$4:$D$8),CZ243+5,CZ243)&gt;55,"",IF(COUNTIF($CZ$4:CZ247,CZ243)&gt;=MAX($D$4:$D$8),CZ243+5,CZ243))</f>
        <v>#VALUE!</v>
      </c>
      <c r="DA248" s="1" t="e">
        <f t="shared" si="183"/>
        <v>#VALUE!</v>
      </c>
      <c r="DB248" s="8" t="str">
        <f t="shared" si="200"/>
        <v/>
      </c>
    </row>
    <row r="249" spans="5:106" x14ac:dyDescent="0.15">
      <c r="E249" s="1">
        <v>246</v>
      </c>
      <c r="F249" s="1">
        <f t="shared" si="184"/>
        <v>1</v>
      </c>
      <c r="G249" s="1">
        <f t="shared" si="191"/>
        <v>1</v>
      </c>
      <c r="H249" s="1">
        <f t="shared" si="185"/>
        <v>1</v>
      </c>
      <c r="I249" s="1">
        <f t="shared" si="186"/>
        <v>1</v>
      </c>
      <c r="J249" s="1">
        <f t="shared" si="192"/>
        <v>1</v>
      </c>
      <c r="L249" s="1" t="str">
        <f>IF(ISERROR(HLOOKUP($C$10,$F$3:$J$253,247,0)),"",HLOOKUP($C$10,$F$3:$J$253,247,0))</f>
        <v/>
      </c>
      <c r="N249" s="67"/>
      <c r="W249" s="71" t="e">
        <f>IF(AA249="","",AA249*10+1)</f>
        <v>#VALUE!</v>
      </c>
      <c r="X249" s="71" t="str">
        <f>IF(OR(COUNTBLANK(AA249)=1,ISERROR(AA249)),"",COUNT(AA4:AA249))</f>
        <v/>
      </c>
      <c r="Y249" s="7" t="e">
        <f t="shared" si="157"/>
        <v>#VALUE!</v>
      </c>
      <c r="Z249" s="1" t="str">
        <f t="shared" si="171"/>
        <v/>
      </c>
      <c r="AA249" s="79" t="e">
        <f>IF(IF(COUNTIF(AA4:AA248,AA248)&gt;=MAX(D4:D8),AA248+1,AA248)&gt;50,"",IF(COUNTIF(AA4:AA248,AA248)&gt;=MAX(D4:D8),AA248+1,AA248))</f>
        <v>#VALUE!</v>
      </c>
      <c r="AB249" s="1" t="e">
        <f>IF(AA249="","",VLOOKUP(AA249,S4:U53,3,0))</f>
        <v>#VALUE!</v>
      </c>
      <c r="AC249" s="8" t="str">
        <f t="shared" si="158"/>
        <v/>
      </c>
      <c r="AE249" s="71" t="e">
        <f t="shared" si="159"/>
        <v>#VALUE!</v>
      </c>
      <c r="AF249" s="71" t="str">
        <f>IF(OR(COUNTBLANK(AI249)=1,ISERROR(AI249)),"",COUNT(AI4:AI249))</f>
        <v/>
      </c>
      <c r="AG249" s="7" t="e">
        <f t="shared" si="160"/>
        <v>#VALUE!</v>
      </c>
      <c r="AH249" s="1" t="str">
        <f>IF(ISERROR(INDEX(C4:C8,MATCH(G249,D4:D8,0))),"",INDEX(C4:C8,MATCH(G249,D4:D8,0)))</f>
        <v/>
      </c>
      <c r="AI249" s="79" t="e">
        <f>IF(IF(COUNTIF(AI4:AI247,AI247)&gt;=MAX(D4:D8),AI247+2,AI247)&gt;50,"",IF(COUNTIF(AI4:AI247,AI247)&gt;=MAX(D4:D8),AI247+2,AI247))</f>
        <v>#VALUE!</v>
      </c>
      <c r="AJ249" s="1" t="e">
        <f>IF(AI249="","",VLOOKUP(AI249,S4:U53,3,0))</f>
        <v>#VALUE!</v>
      </c>
      <c r="AK249" s="8" t="str">
        <f t="shared" si="161"/>
        <v/>
      </c>
      <c r="AM249" s="71" t="e">
        <f t="shared" si="162"/>
        <v>#VALUE!</v>
      </c>
      <c r="AN249" s="71" t="str">
        <f>IF(OR(COUNTBLANK(AQ249)=1,ISERROR(AQ249)),"",COUNT(AQ4:AQ249))</f>
        <v/>
      </c>
      <c r="AO249" s="7" t="e">
        <f t="shared" si="163"/>
        <v>#VALUE!</v>
      </c>
      <c r="AP249" s="1" t="str">
        <f>IF(ISERROR(INDEX(C4:C8,MATCH(H249,D4:D8,0))),"",INDEX(C4:C8,MATCH(H249,D4:D8,0)))</f>
        <v/>
      </c>
      <c r="AQ249" s="79" t="e">
        <f>IF(IF(COUNTIF(AQ4:AQ248,AQ246)&gt;=MAX(D4:D8),AQ246+3,AQ246)&gt;50,"",IF(COUNTIF(AQ4:AQ248,AQ246)&gt;=MAX(D4:D8),AQ246+3,AQ246))</f>
        <v>#VALUE!</v>
      </c>
      <c r="AR249" s="1" t="e">
        <f>IF(AQ249="","",VLOOKUP(AQ249,S4:U53,3,0))</f>
        <v>#VALUE!</v>
      </c>
      <c r="AS249" s="8" t="str">
        <f t="shared" si="164"/>
        <v/>
      </c>
      <c r="AU249" s="71" t="e">
        <f t="shared" si="165"/>
        <v>#VALUE!</v>
      </c>
      <c r="AV249" s="71" t="str">
        <f>IF(OR(COUNTBLANK(AY249)=1,ISERROR(AY249)),"",COUNT(AY4:AY249))</f>
        <v/>
      </c>
      <c r="AW249" s="7" t="e">
        <f t="shared" si="166"/>
        <v>#VALUE!</v>
      </c>
      <c r="AX249" s="1" t="str">
        <f>IF(ISERROR(INDEX(C4:C8,MATCH(I249,D4:D8,0))),"",INDEX(C4:C8,MATCH(I249,D4:D8,0)))</f>
        <v/>
      </c>
      <c r="AY249" s="79" t="e">
        <f>IF(IF(COUNTIF(AY4:AY248,AY245)&gt;=MAX(D4:D8),AY245+4,AY245)&gt;50,"",IF(COUNTIF(AY4:AY248,AY245)&gt;=MAX(D4:D8),AY245+4,AY245))</f>
        <v>#VALUE!</v>
      </c>
      <c r="AZ249" s="76" t="e">
        <f>IF(AY249="","",VLOOKUP(AY249,S4:U53,3,0))</f>
        <v>#VALUE!</v>
      </c>
      <c r="BA249" s="8" t="str">
        <f t="shared" si="167"/>
        <v/>
      </c>
      <c r="BC249" s="71" t="e">
        <f t="shared" si="168"/>
        <v>#VALUE!</v>
      </c>
      <c r="BD249" s="71" t="str">
        <f>IF(OR(COUNTBLANK(BG249)=1,ISERROR(BG249)),"",COUNT(BG4:BG249))</f>
        <v/>
      </c>
      <c r="BE249" s="7" t="e">
        <f t="shared" si="169"/>
        <v>#VALUE!</v>
      </c>
      <c r="BF249" s="1" t="str">
        <f>IF(ISERROR(INDEX(C4:C8,MATCH(J249,D4:D8,0))),"",INDEX(C4:C8,MATCH(J249,D4:D8,0)))</f>
        <v/>
      </c>
      <c r="BG249" s="79" t="e">
        <f>IF(IF(COUNTIF(BG4:BG248,BG244)&gt;=MAX(D4:D8),BG244+5,BG244)&gt;50,"",IF(COUNTIF(BG4:BG248,BG244)&gt;=MAX(D4:D8),BG244+5,BG244))</f>
        <v>#VALUE!</v>
      </c>
      <c r="BH249" s="76" t="e">
        <f>IF(BG249="","",VLOOKUP(BG249,S4:U53,3,0))</f>
        <v>#VALUE!</v>
      </c>
      <c r="BI249" s="8" t="str">
        <f t="shared" si="170"/>
        <v/>
      </c>
      <c r="BP249" s="71" t="e">
        <f>IF(BT249="","",BT249*10+1)</f>
        <v>#VALUE!</v>
      </c>
      <c r="BQ249" s="71" t="str">
        <f>IF(OR(COUNTBLANK(BT249)=1,ISERROR(BT249)),"",COUNT(BT4:BT249))</f>
        <v/>
      </c>
      <c r="BR249" s="7" t="e">
        <f t="shared" si="172"/>
        <v>#VALUE!</v>
      </c>
      <c r="BS249" s="1" t="str">
        <f t="shared" si="173"/>
        <v/>
      </c>
      <c r="BT249" s="79" t="e">
        <f>IF(IF(COUNTIF($BT$4:BT248,BT248)&gt;=MAX($D$4:$D$8),BT248+1,BT248)&gt;55,"",IF(COUNTIF($BT$4:BT248,BT248)&gt;=MAX($D$4:$D$8),BT248+1,BT248))</f>
        <v>#VALUE!</v>
      </c>
      <c r="BU249" s="1" t="e">
        <f t="shared" si="174"/>
        <v>#VALUE!</v>
      </c>
      <c r="BV249" s="8" t="str">
        <f t="shared" si="175"/>
        <v/>
      </c>
      <c r="BX249" s="71" t="e">
        <f t="shared" si="176"/>
        <v>#VALUE!</v>
      </c>
      <c r="BY249" s="71" t="str">
        <f>IF(OR(COUNTBLANK(CB249)=1,ISERROR(CB249)),"",COUNT($CB$4:CB249))</f>
        <v/>
      </c>
      <c r="BZ249" s="7" t="e">
        <f t="shared" si="177"/>
        <v>#VALUE!</v>
      </c>
      <c r="CA249" s="1" t="str">
        <f t="shared" si="178"/>
        <v/>
      </c>
      <c r="CB249" s="79" t="e">
        <f>IF(IF(COUNTIF($CB$4:CB248,CB247)&gt;=MAX($D$4:$D$8),CB247+2,CB247)&gt;55,"",IF(COUNTIF($CB$4:CB248,CB247)&gt;=MAX($D$4:$D$8),CB247+2,CB247))</f>
        <v>#VALUE!</v>
      </c>
      <c r="CC249" s="1" t="e">
        <f t="shared" si="179"/>
        <v>#VALUE!</v>
      </c>
      <c r="CD249" s="8" t="str">
        <f t="shared" si="180"/>
        <v/>
      </c>
      <c r="CF249" s="71" t="e">
        <f t="shared" si="193"/>
        <v>#VALUE!</v>
      </c>
      <c r="CG249" s="71" t="str">
        <f>IF(OR(COUNTBLANK(CJ249)=1,ISERROR(CJ249)),"",COUNT($CJ$4:CJ249))</f>
        <v/>
      </c>
      <c r="CH249" s="7" t="e">
        <f t="shared" si="194"/>
        <v>#VALUE!</v>
      </c>
      <c r="CI249" s="1" t="str">
        <f t="shared" si="195"/>
        <v/>
      </c>
      <c r="CJ249" s="79" t="e">
        <f>IF(IF(COUNTIF($CJ$4:CJ248,CJ246)&gt;=MAX($D$4:$D$8),CJ246+3,CJ246)&gt;55,"",IF(COUNTIF($CJ$4:CJ248,CJ246)&gt;=MAX($D$4:$D$8),CJ246+3,CJ246))</f>
        <v>#VALUE!</v>
      </c>
      <c r="CK249" s="1" t="e">
        <f t="shared" si="181"/>
        <v>#VALUE!</v>
      </c>
      <c r="CL249" s="8" t="str">
        <f t="shared" si="196"/>
        <v/>
      </c>
      <c r="CN249" s="71" t="e">
        <f t="shared" si="187"/>
        <v>#VALUE!</v>
      </c>
      <c r="CO249" s="71" t="str">
        <f>IF(OR(COUNTBLANK(CR249)=1,ISERROR(CR249)),"",COUNT($CR$4:CR249))</f>
        <v/>
      </c>
      <c r="CP249" s="7" t="e">
        <f t="shared" si="188"/>
        <v>#VALUE!</v>
      </c>
      <c r="CQ249" s="1" t="str">
        <f t="shared" si="189"/>
        <v/>
      </c>
      <c r="CR249" s="79" t="e">
        <f>IF(IF(COUNTIF($CR$4:CR248,CR245)&gt;=MAX($D$4:$D$8),CR245+4,CR245)&gt;55,"",IF(COUNTIF($CR$4:CR248,CR245)&gt;=MAX($D$4:$D$8),CR245+4,CR245))</f>
        <v>#VALUE!</v>
      </c>
      <c r="CS249" s="1" t="e">
        <f t="shared" si="182"/>
        <v>#VALUE!</v>
      </c>
      <c r="CT249" s="8" t="str">
        <f t="shared" si="190"/>
        <v/>
      </c>
      <c r="CV249" s="71" t="e">
        <f t="shared" si="197"/>
        <v>#VALUE!</v>
      </c>
      <c r="CW249" s="71" t="str">
        <f>IF(OR(COUNTBLANK(CZ249)=1,ISERROR(CZ249)),"",COUNT($CZ$4:CZ249))</f>
        <v/>
      </c>
      <c r="CX249" s="7" t="e">
        <f t="shared" si="198"/>
        <v>#VALUE!</v>
      </c>
      <c r="CY249" s="1" t="str">
        <f t="shared" si="199"/>
        <v/>
      </c>
      <c r="CZ249" s="79" t="e">
        <f>IF(IF(COUNTIF($CZ$4:CZ248,CZ244)&gt;=MAX($D$4:$D$8),CZ244+5,CZ244)&gt;55,"",IF(COUNTIF($CZ$4:CZ248,CZ244)&gt;=MAX($D$4:$D$8),CZ244+5,CZ244))</f>
        <v>#VALUE!</v>
      </c>
      <c r="DA249" s="1" t="e">
        <f t="shared" si="183"/>
        <v>#VALUE!</v>
      </c>
      <c r="DB249" s="8" t="str">
        <f t="shared" si="200"/>
        <v/>
      </c>
    </row>
    <row r="250" spans="5:106" x14ac:dyDescent="0.15">
      <c r="E250" s="1">
        <v>247</v>
      </c>
      <c r="F250" s="1">
        <f t="shared" si="184"/>
        <v>1</v>
      </c>
      <c r="G250" s="1">
        <f t="shared" si="191"/>
        <v>1</v>
      </c>
      <c r="H250" s="1">
        <f t="shared" si="185"/>
        <v>1</v>
      </c>
      <c r="I250" s="1">
        <f t="shared" si="186"/>
        <v>1</v>
      </c>
      <c r="J250" s="1">
        <f t="shared" si="192"/>
        <v>1</v>
      </c>
      <c r="L250" s="1" t="str">
        <f>IF(ISERROR(HLOOKUP($C$10,$F$3:$J$253,248,0)),"",HLOOKUP($C$10,$F$3:$J$253,248,0))</f>
        <v/>
      </c>
      <c r="N250" s="67"/>
      <c r="W250" s="71" t="e">
        <f>IF(AA250="","",AA250*10+2)</f>
        <v>#VALUE!</v>
      </c>
      <c r="X250" s="71" t="str">
        <f>IF(OR(COUNTBLANK(AA250)=1,ISERROR(AA250)),"",COUNT(AA4:AA250))</f>
        <v/>
      </c>
      <c r="Y250" s="7" t="e">
        <f t="shared" si="157"/>
        <v>#VALUE!</v>
      </c>
      <c r="Z250" s="1" t="str">
        <f t="shared" si="171"/>
        <v/>
      </c>
      <c r="AA250" s="79" t="e">
        <f>IF(IF(COUNTIF(AA4:AA249,AA249)&gt;=MAX(D4:D8),AA249+1,AA249)&gt;50,"",IF(COUNTIF(AA4:AA249,AA249)&gt;=MAX(D4:D8),AA249+1,AA249))</f>
        <v>#VALUE!</v>
      </c>
      <c r="AB250" s="1" t="e">
        <f>IF(AA250="","",VLOOKUP(AA250,S4:U53,3,0))</f>
        <v>#VALUE!</v>
      </c>
      <c r="AC250" s="8" t="str">
        <f t="shared" si="158"/>
        <v/>
      </c>
      <c r="AE250" s="71" t="e">
        <f t="shared" si="159"/>
        <v>#VALUE!</v>
      </c>
      <c r="AF250" s="71" t="str">
        <f>IF(OR(COUNTBLANK(AI250)=1,ISERROR(AI250)),"",COUNT(AI4:AI250))</f>
        <v/>
      </c>
      <c r="AG250" s="7" t="e">
        <f t="shared" si="160"/>
        <v>#VALUE!</v>
      </c>
      <c r="AH250" s="1" t="str">
        <f>IF(ISERROR(INDEX(C4:C8,MATCH(G250,D4:D8,0))),"",INDEX(C4:C8,MATCH(G250,D4:D8,0)))</f>
        <v/>
      </c>
      <c r="AI250" s="79" t="e">
        <f>IF(IF(COUNTIF(AI4:AI249,AI248)&gt;=MAX(D4:D8),AI248+2,AI248)&gt;50,"",IF(COUNTIF(AI4:AI249,AI248)&gt;=MAX(D4:D8),AI248+2,AI248))</f>
        <v>#VALUE!</v>
      </c>
      <c r="AJ250" s="1" t="e">
        <f>IF(AI250="","",VLOOKUP(AI250,S4:U53,3,0))</f>
        <v>#VALUE!</v>
      </c>
      <c r="AK250" s="8" t="str">
        <f t="shared" si="161"/>
        <v/>
      </c>
      <c r="AM250" s="71" t="e">
        <f t="shared" si="162"/>
        <v>#VALUE!</v>
      </c>
      <c r="AN250" s="71" t="str">
        <f>IF(OR(COUNTBLANK(AQ250)=1,ISERROR(AQ250)),"",COUNT(AQ4:AQ250))</f>
        <v/>
      </c>
      <c r="AO250" s="7" t="e">
        <f t="shared" si="163"/>
        <v>#VALUE!</v>
      </c>
      <c r="AP250" s="1" t="str">
        <f>IF(ISERROR(INDEX(C4:C8,MATCH(H250,D4:D8,0))),"",INDEX(C4:C8,MATCH(H250,D4:D8,0)))</f>
        <v/>
      </c>
      <c r="AQ250" s="79" t="e">
        <f>IF(IF(COUNTIF(AQ4:AQ249,AQ247)&gt;=MAX(D4:D8),AQ247+3,AQ247)&gt;50,"",IF(COUNTIF(AQ4:AQ249,AQ247)&gt;=MAX(D4:D8),AQ247+3,AQ247))</f>
        <v>#VALUE!</v>
      </c>
      <c r="AR250" s="1" t="e">
        <f>IF(AQ250="","",VLOOKUP(AQ250,S4:U53,3,0))</f>
        <v>#VALUE!</v>
      </c>
      <c r="AS250" s="8" t="str">
        <f t="shared" si="164"/>
        <v/>
      </c>
      <c r="AU250" s="71" t="e">
        <f t="shared" si="165"/>
        <v>#VALUE!</v>
      </c>
      <c r="AV250" s="71" t="str">
        <f>IF(OR(COUNTBLANK(AY250)=1,ISERROR(AY250)),"",COUNT(AY4:AY250))</f>
        <v/>
      </c>
      <c r="AW250" s="7" t="e">
        <f t="shared" si="166"/>
        <v>#VALUE!</v>
      </c>
      <c r="AX250" s="1" t="str">
        <f>IF(ISERROR(INDEX(C4:C8,MATCH(I250,D4:D8,0))),"",INDEX(C4:C8,MATCH(I250,D4:D8,0)))</f>
        <v/>
      </c>
      <c r="AY250" s="79" t="e">
        <f>IF(IF(COUNTIF(AY4:AY249,AY246)&gt;=MAX(D4:D8),AY246+4,AY246)&gt;50,"",IF(COUNTIF(AY4:AY249,AY246)&gt;=MAX(D4:D8),AY246+4,AY246))</f>
        <v>#VALUE!</v>
      </c>
      <c r="AZ250" s="76" t="e">
        <f>IF(AY250="","",VLOOKUP(AY250,S4:U53,3,0))</f>
        <v>#VALUE!</v>
      </c>
      <c r="BA250" s="8" t="str">
        <f t="shared" si="167"/>
        <v/>
      </c>
      <c r="BC250" s="71" t="e">
        <f t="shared" si="168"/>
        <v>#VALUE!</v>
      </c>
      <c r="BD250" s="71" t="str">
        <f>IF(OR(COUNTBLANK(BG250)=1,ISERROR(BG250)),"",COUNT(BG4:BG250))</f>
        <v/>
      </c>
      <c r="BE250" s="7" t="e">
        <f t="shared" si="169"/>
        <v>#VALUE!</v>
      </c>
      <c r="BF250" s="1" t="str">
        <f>IF(ISERROR(INDEX(C4:C8,MATCH(J250,D4:D8,0))),"",INDEX(C4:C8,MATCH(J250,D4:D8,0)))</f>
        <v/>
      </c>
      <c r="BG250" s="79" t="e">
        <f>IF(IF(COUNTIF(BG4:BG249,BG245)&gt;=MAX(D4:D8),BG245+5,BG245)&gt;50,"",IF(COUNTIF(BG4:BG249,BG245)&gt;=MAX(D4:D8),BG245+5,BG245))</f>
        <v>#VALUE!</v>
      </c>
      <c r="BH250" s="76" t="e">
        <f>IF(BG250="","",VLOOKUP(BG250,S4:U53,3,0))</f>
        <v>#VALUE!</v>
      </c>
      <c r="BI250" s="8" t="str">
        <f t="shared" si="170"/>
        <v/>
      </c>
      <c r="BP250" s="71" t="e">
        <f>IF(BT250="","",BT250*10+2)</f>
        <v>#VALUE!</v>
      </c>
      <c r="BQ250" s="71" t="str">
        <f>IF(OR(COUNTBLANK(BT250)=1,ISERROR(BT250)),"",COUNT(BT4:BT250))</f>
        <v/>
      </c>
      <c r="BR250" s="7" t="e">
        <f t="shared" si="172"/>
        <v>#VALUE!</v>
      </c>
      <c r="BS250" s="1" t="str">
        <f t="shared" si="173"/>
        <v/>
      </c>
      <c r="BT250" s="79" t="e">
        <f>IF(IF(COUNTIF($BT$4:BT249,BT249)&gt;=MAX($D$4:$D$8),BT249+1,BT249)&gt;55,"",IF(COUNTIF($BT$4:BT249,BT249)&gt;=MAX($D$4:$D$8),BT249+1,BT249))</f>
        <v>#VALUE!</v>
      </c>
      <c r="BU250" s="1" t="e">
        <f t="shared" si="174"/>
        <v>#VALUE!</v>
      </c>
      <c r="BV250" s="8" t="str">
        <f t="shared" si="175"/>
        <v/>
      </c>
      <c r="BX250" s="71" t="e">
        <f t="shared" si="176"/>
        <v>#VALUE!</v>
      </c>
      <c r="BY250" s="71" t="str">
        <f>IF(OR(COUNTBLANK(CB250)=1,ISERROR(CB250)),"",COUNT($CB$4:CB250))</f>
        <v/>
      </c>
      <c r="BZ250" s="7" t="e">
        <f t="shared" si="177"/>
        <v>#VALUE!</v>
      </c>
      <c r="CA250" s="1" t="str">
        <f t="shared" si="178"/>
        <v/>
      </c>
      <c r="CB250" s="79" t="e">
        <f>IF(IF(COUNTIF($CB$4:CB249,CB248)&gt;=MAX($D$4:$D$8),CB248+2,CB248)&gt;55,"",IF(COUNTIF($CB$4:CB249,CB248)&gt;=MAX($D$4:$D$8),CB248+2,CB248))</f>
        <v>#VALUE!</v>
      </c>
      <c r="CC250" s="1" t="e">
        <f t="shared" si="179"/>
        <v>#VALUE!</v>
      </c>
      <c r="CD250" s="8" t="str">
        <f t="shared" si="180"/>
        <v/>
      </c>
      <c r="CF250" s="71" t="e">
        <f t="shared" si="193"/>
        <v>#VALUE!</v>
      </c>
      <c r="CG250" s="71" t="str">
        <f>IF(OR(COUNTBLANK(CJ250)=1,ISERROR(CJ250)),"",COUNT($CJ$4:CJ250))</f>
        <v/>
      </c>
      <c r="CH250" s="7" t="e">
        <f t="shared" si="194"/>
        <v>#VALUE!</v>
      </c>
      <c r="CI250" s="1" t="str">
        <f t="shared" si="195"/>
        <v/>
      </c>
      <c r="CJ250" s="79" t="e">
        <f>IF(IF(COUNTIF($CJ$4:CJ249,CJ247)&gt;=MAX($D$4:$D$8),CJ247+3,CJ247)&gt;55,"",IF(COUNTIF($CJ$4:CJ249,CJ247)&gt;=MAX($D$4:$D$8),CJ247+3,CJ247))</f>
        <v>#VALUE!</v>
      </c>
      <c r="CK250" s="1" t="e">
        <f t="shared" si="181"/>
        <v>#VALUE!</v>
      </c>
      <c r="CL250" s="8" t="str">
        <f t="shared" si="196"/>
        <v/>
      </c>
      <c r="CN250" s="71" t="e">
        <f t="shared" si="187"/>
        <v>#VALUE!</v>
      </c>
      <c r="CO250" s="71" t="str">
        <f>IF(OR(COUNTBLANK(CR250)=1,ISERROR(CR250)),"",COUNT($CR$4:CR250))</f>
        <v/>
      </c>
      <c r="CP250" s="7" t="e">
        <f t="shared" si="188"/>
        <v>#VALUE!</v>
      </c>
      <c r="CQ250" s="1" t="str">
        <f t="shared" si="189"/>
        <v/>
      </c>
      <c r="CR250" s="79" t="e">
        <f>IF(IF(COUNTIF($CR$4:CR249,CR246)&gt;=MAX($D$4:$D$8),CR246+4,CR246)&gt;55,"",IF(COUNTIF($CR$4:CR249,CR246)&gt;=MAX($D$4:$D$8),CR246+4,CR246))</f>
        <v>#VALUE!</v>
      </c>
      <c r="CS250" s="1" t="e">
        <f t="shared" si="182"/>
        <v>#VALUE!</v>
      </c>
      <c r="CT250" s="8" t="str">
        <f t="shared" si="190"/>
        <v/>
      </c>
      <c r="CV250" s="71" t="e">
        <f t="shared" si="197"/>
        <v>#VALUE!</v>
      </c>
      <c r="CW250" s="71" t="str">
        <f>IF(OR(COUNTBLANK(CZ250)=1,ISERROR(CZ250)),"",COUNT($CZ$4:CZ250))</f>
        <v/>
      </c>
      <c r="CX250" s="7" t="e">
        <f t="shared" si="198"/>
        <v>#VALUE!</v>
      </c>
      <c r="CY250" s="1" t="str">
        <f t="shared" si="199"/>
        <v/>
      </c>
      <c r="CZ250" s="79" t="e">
        <f>IF(IF(COUNTIF($CZ$4:CZ249,CZ245)&gt;=MAX($D$4:$D$8),CZ245+5,CZ245)&gt;55,"",IF(COUNTIF($CZ$4:CZ249,CZ245)&gt;=MAX($D$4:$D$8),CZ245+5,CZ245))</f>
        <v>#VALUE!</v>
      </c>
      <c r="DA250" s="1" t="e">
        <f t="shared" si="183"/>
        <v>#VALUE!</v>
      </c>
      <c r="DB250" s="8" t="str">
        <f t="shared" si="200"/>
        <v/>
      </c>
    </row>
    <row r="251" spans="5:106" x14ac:dyDescent="0.15">
      <c r="E251" s="1">
        <v>248</v>
      </c>
      <c r="F251" s="1">
        <f t="shared" si="184"/>
        <v>1</v>
      </c>
      <c r="G251" s="1">
        <f t="shared" si="191"/>
        <v>1</v>
      </c>
      <c r="H251" s="1">
        <f t="shared" si="185"/>
        <v>1</v>
      </c>
      <c r="I251" s="1">
        <f t="shared" si="186"/>
        <v>1</v>
      </c>
      <c r="J251" s="1">
        <f t="shared" si="192"/>
        <v>1</v>
      </c>
      <c r="L251" s="1" t="str">
        <f>IF(ISERROR(HLOOKUP($C$10,$F$3:$J$253,249,0)),"",HLOOKUP($C$10,$F$3:$J$253,249,0))</f>
        <v/>
      </c>
      <c r="N251" s="67"/>
      <c r="W251" s="71" t="e">
        <f>IF(AA251="","",AA251*10+3)</f>
        <v>#VALUE!</v>
      </c>
      <c r="X251" s="71" t="str">
        <f>IF(OR(COUNTBLANK(AA251)=1,ISERROR(AA251)),"",COUNT(AA4:AA251))</f>
        <v/>
      </c>
      <c r="Y251" s="7" t="e">
        <f t="shared" si="157"/>
        <v>#VALUE!</v>
      </c>
      <c r="Z251" s="1" t="str">
        <f t="shared" si="171"/>
        <v/>
      </c>
      <c r="AA251" s="79" t="e">
        <f>IF(IF(COUNTIF(AA4:AA250,AA250)&gt;=MAX(D4:D8),AA250+1,AA250)&gt;50,"",IF(COUNTIF(AA4:AA250,AA250)&gt;=MAX(D4:D8),AA250+1,AA250))</f>
        <v>#VALUE!</v>
      </c>
      <c r="AB251" s="1" t="e">
        <f>IF(AA251="","",VLOOKUP(AA251,S4:U53,3,0))</f>
        <v>#VALUE!</v>
      </c>
      <c r="AC251" s="8" t="str">
        <f t="shared" si="158"/>
        <v/>
      </c>
      <c r="AE251" s="71" t="e">
        <f t="shared" si="159"/>
        <v>#VALUE!</v>
      </c>
      <c r="AF251" s="71" t="str">
        <f>IF(OR(COUNTBLANK(AI251)=1,ISERROR(AI251)),"",COUNT(AI4:AI251))</f>
        <v/>
      </c>
      <c r="AG251" s="7" t="e">
        <f t="shared" si="160"/>
        <v>#VALUE!</v>
      </c>
      <c r="AH251" s="1" t="str">
        <f>IF(ISERROR(INDEX(C4:C8,MATCH(G251,D4:D8,0))),"",INDEX(C4:C8,MATCH(G251,D4:D8,0)))</f>
        <v/>
      </c>
      <c r="AI251" s="79" t="e">
        <f>IF(IF(COUNTIF(AI4:AI249,AI249)&gt;=MAX(D4:D8),AI249+2,AI249)&gt;50,"",IF(COUNTIF(AI4:AI249,AI249)&gt;=MAX(D4:D8),AI249+2,AI249))</f>
        <v>#VALUE!</v>
      </c>
      <c r="AJ251" s="1" t="e">
        <f>IF(AI251="","",VLOOKUP(AI251,S4:U53,3,0))</f>
        <v>#VALUE!</v>
      </c>
      <c r="AK251" s="8" t="str">
        <f t="shared" si="161"/>
        <v/>
      </c>
      <c r="AM251" s="71" t="e">
        <f t="shared" si="162"/>
        <v>#VALUE!</v>
      </c>
      <c r="AN251" s="71" t="str">
        <f>IF(OR(COUNTBLANK(AQ251)=1,ISERROR(AQ251)),"",COUNT(AQ4:AQ251))</f>
        <v/>
      </c>
      <c r="AO251" s="7" t="e">
        <f t="shared" si="163"/>
        <v>#VALUE!</v>
      </c>
      <c r="AP251" s="1" t="str">
        <f>IF(ISERROR(INDEX(C4:C8,MATCH(H251,D4:D8,0))),"",INDEX(C4:C8,MATCH(H251,D4:D8,0)))</f>
        <v/>
      </c>
      <c r="AQ251" s="79" t="e">
        <f>IF(IF(COUNTIF(AQ4:AQ250,AQ248)&gt;=MAX(D4:D8),AQ248+3,AQ248)&gt;50,"",IF(COUNTIF(AQ4:AQ250,AQ248)&gt;=MAX(D4:D8),AQ248+3,AQ248))</f>
        <v>#VALUE!</v>
      </c>
      <c r="AR251" s="1" t="e">
        <f>IF(AQ251="","",VLOOKUP(AQ251,S4:U53,3,0))</f>
        <v>#VALUE!</v>
      </c>
      <c r="AS251" s="8" t="str">
        <f t="shared" si="164"/>
        <v/>
      </c>
      <c r="AU251" s="71" t="e">
        <f t="shared" si="165"/>
        <v>#VALUE!</v>
      </c>
      <c r="AV251" s="71" t="str">
        <f>IF(OR(COUNTBLANK(AY251)=1,ISERROR(AY251)),"",COUNT(AY4:AY251))</f>
        <v/>
      </c>
      <c r="AW251" s="7" t="e">
        <f t="shared" si="166"/>
        <v>#VALUE!</v>
      </c>
      <c r="AX251" s="1" t="str">
        <f>IF(ISERROR(INDEX(C4:C8,MATCH(I251,D4:D8,0))),"",INDEX(C4:C8,MATCH(I251,D4:D8,0)))</f>
        <v/>
      </c>
      <c r="AY251" s="79" t="e">
        <f>IF(IF(COUNTIF(AY4:AY250,AY247)&gt;=MAX(D4:D8),AY247+4,AY247)&gt;50,"",IF(COUNTIF(AY4:AY250,AY247)&gt;=MAX(D4:D8),AY247+4,AY247))</f>
        <v>#VALUE!</v>
      </c>
      <c r="AZ251" s="76" t="e">
        <f>IF(AY251="","",VLOOKUP(AY251,S4:U53,3,0))</f>
        <v>#VALUE!</v>
      </c>
      <c r="BA251" s="8" t="str">
        <f t="shared" si="167"/>
        <v/>
      </c>
      <c r="BC251" s="71" t="e">
        <f t="shared" si="168"/>
        <v>#VALUE!</v>
      </c>
      <c r="BD251" s="71" t="str">
        <f>IF(OR(COUNTBLANK(BG251)=1,ISERROR(BG251)),"",COUNT(BG4:BG251))</f>
        <v/>
      </c>
      <c r="BE251" s="7" t="e">
        <f t="shared" si="169"/>
        <v>#VALUE!</v>
      </c>
      <c r="BF251" s="1" t="str">
        <f>IF(ISERROR(INDEX(C4:C8,MATCH(J251,D4:D8,0))),"",INDEX(C4:C8,MATCH(J251,D4:D8,0)))</f>
        <v/>
      </c>
      <c r="BG251" s="79" t="e">
        <f>IF(IF(COUNTIF(BG4:BG250,BG246)&gt;=MAX(D4:D8),BG246+5,BG246)&gt;50,"",IF(COUNTIF(BG4:BG250,BG246)&gt;=MAX(D4:D8),BG246+5,BG246))</f>
        <v>#VALUE!</v>
      </c>
      <c r="BH251" s="76" t="e">
        <f>IF(BG251="","",VLOOKUP(BG251,S4:U53,3,0))</f>
        <v>#VALUE!</v>
      </c>
      <c r="BI251" s="8" t="str">
        <f t="shared" si="170"/>
        <v/>
      </c>
      <c r="BP251" s="71" t="e">
        <f>IF(BT251="","",BT251*10+3)</f>
        <v>#VALUE!</v>
      </c>
      <c r="BQ251" s="71" t="str">
        <f>IF(OR(COUNTBLANK(BT251)=1,ISERROR(BT251)),"",COUNT(BT4:BT251))</f>
        <v/>
      </c>
      <c r="BR251" s="7" t="e">
        <f t="shared" si="172"/>
        <v>#VALUE!</v>
      </c>
      <c r="BS251" s="1" t="str">
        <f t="shared" si="173"/>
        <v/>
      </c>
      <c r="BT251" s="79" t="e">
        <f>IF(IF(COUNTIF($BT$4:BT250,BT250)&gt;=MAX($D$4:$D$8),BT250+1,BT250)&gt;55,"",IF(COUNTIF($BT$4:BT250,BT250)&gt;=MAX($D$4:$D$8),BT250+1,BT250))</f>
        <v>#VALUE!</v>
      </c>
      <c r="BU251" s="1" t="e">
        <f t="shared" si="174"/>
        <v>#VALUE!</v>
      </c>
      <c r="BV251" s="8" t="str">
        <f t="shared" si="175"/>
        <v/>
      </c>
      <c r="BX251" s="71" t="e">
        <f t="shared" si="176"/>
        <v>#VALUE!</v>
      </c>
      <c r="BY251" s="71" t="str">
        <f>IF(OR(COUNTBLANK(CB251)=1,ISERROR(CB251)),"",COUNT($CB$4:CB251))</f>
        <v/>
      </c>
      <c r="BZ251" s="7" t="e">
        <f t="shared" si="177"/>
        <v>#VALUE!</v>
      </c>
      <c r="CA251" s="1" t="str">
        <f t="shared" si="178"/>
        <v/>
      </c>
      <c r="CB251" s="79" t="e">
        <f>IF(IF(COUNTIF($CB$4:CB250,CB249)&gt;=MAX($D$4:$D$8),CB249+2,CB249)&gt;55,"",IF(COUNTIF($CB$4:CB250,CB249)&gt;=MAX($D$4:$D$8),CB249+2,CB249))</f>
        <v>#VALUE!</v>
      </c>
      <c r="CC251" s="1" t="e">
        <f t="shared" si="179"/>
        <v>#VALUE!</v>
      </c>
      <c r="CD251" s="8" t="str">
        <f t="shared" si="180"/>
        <v/>
      </c>
      <c r="CF251" s="71" t="e">
        <f t="shared" si="193"/>
        <v>#VALUE!</v>
      </c>
      <c r="CG251" s="71" t="str">
        <f>IF(OR(COUNTBLANK(CJ251)=1,ISERROR(CJ251)),"",COUNT($CJ$4:CJ251))</f>
        <v/>
      </c>
      <c r="CH251" s="7" t="e">
        <f t="shared" si="194"/>
        <v>#VALUE!</v>
      </c>
      <c r="CI251" s="1" t="str">
        <f t="shared" si="195"/>
        <v/>
      </c>
      <c r="CJ251" s="79" t="e">
        <f>IF(IF(COUNTIF($CJ$4:CJ250,CJ248)&gt;=MAX($D$4:$D$8),CJ248+3,CJ248)&gt;55,"",IF(COUNTIF($CJ$4:CJ250,CJ248)&gt;=MAX($D$4:$D$8),CJ248+3,CJ248))</f>
        <v>#VALUE!</v>
      </c>
      <c r="CK251" s="1" t="e">
        <f t="shared" si="181"/>
        <v>#VALUE!</v>
      </c>
      <c r="CL251" s="8" t="str">
        <f t="shared" si="196"/>
        <v/>
      </c>
      <c r="CN251" s="71" t="e">
        <f t="shared" si="187"/>
        <v>#VALUE!</v>
      </c>
      <c r="CO251" s="71" t="str">
        <f>IF(OR(COUNTBLANK(CR251)=1,ISERROR(CR251)),"",COUNT($CR$4:CR251))</f>
        <v/>
      </c>
      <c r="CP251" s="7" t="e">
        <f t="shared" si="188"/>
        <v>#VALUE!</v>
      </c>
      <c r="CQ251" s="1" t="str">
        <f t="shared" si="189"/>
        <v/>
      </c>
      <c r="CR251" s="79" t="e">
        <f>IF(IF(COUNTIF($CR$4:CR250,CR247)&gt;=MAX($D$4:$D$8),CR247+4,CR247)&gt;55,"",IF(COUNTIF($CR$4:CR250,CR247)&gt;=MAX($D$4:$D$8),CR247+4,CR247))</f>
        <v>#VALUE!</v>
      </c>
      <c r="CS251" s="1" t="e">
        <f t="shared" si="182"/>
        <v>#VALUE!</v>
      </c>
      <c r="CT251" s="8" t="str">
        <f t="shared" si="190"/>
        <v/>
      </c>
      <c r="CV251" s="71" t="e">
        <f t="shared" si="197"/>
        <v>#VALUE!</v>
      </c>
      <c r="CW251" s="71" t="str">
        <f>IF(OR(COUNTBLANK(CZ251)=1,ISERROR(CZ251)),"",COUNT($CZ$4:CZ251))</f>
        <v/>
      </c>
      <c r="CX251" s="7" t="e">
        <f t="shared" si="198"/>
        <v>#VALUE!</v>
      </c>
      <c r="CY251" s="1" t="str">
        <f t="shared" si="199"/>
        <v/>
      </c>
      <c r="CZ251" s="79" t="e">
        <f>IF(IF(COUNTIF($CZ$4:CZ250,CZ246)&gt;=MAX($D$4:$D$8),CZ246+5,CZ246)&gt;55,"",IF(COUNTIF($CZ$4:CZ250,CZ246)&gt;=MAX($D$4:$D$8),CZ246+5,CZ246))</f>
        <v>#VALUE!</v>
      </c>
      <c r="DA251" s="1" t="e">
        <f t="shared" si="183"/>
        <v>#VALUE!</v>
      </c>
      <c r="DB251" s="8" t="str">
        <f t="shared" si="200"/>
        <v/>
      </c>
    </row>
    <row r="252" spans="5:106" x14ac:dyDescent="0.15">
      <c r="E252" s="1">
        <v>249</v>
      </c>
      <c r="F252" s="1">
        <f t="shared" si="184"/>
        <v>1</v>
      </c>
      <c r="G252" s="1">
        <f t="shared" si="191"/>
        <v>1</v>
      </c>
      <c r="H252" s="1">
        <f t="shared" si="185"/>
        <v>1</v>
      </c>
      <c r="I252" s="1">
        <f t="shared" si="186"/>
        <v>1</v>
      </c>
      <c r="J252" s="1">
        <f t="shared" si="192"/>
        <v>1</v>
      </c>
      <c r="L252" s="1" t="str">
        <f>IF(ISERROR(HLOOKUP($C$10,$F$3:$J$253,250,0)),"",HLOOKUP($C$10,$F$3:$J$253,250,0))</f>
        <v/>
      </c>
      <c r="N252" s="67"/>
      <c r="W252" s="71" t="e">
        <f>IF(AA252="","",AA252*10+4)</f>
        <v>#VALUE!</v>
      </c>
      <c r="X252" s="71" t="str">
        <f>IF(OR(COUNTBLANK(AA252)=1,ISERROR(AA252)),"",COUNT(AA4:AA252))</f>
        <v/>
      </c>
      <c r="Y252" s="7" t="e">
        <f t="shared" si="157"/>
        <v>#VALUE!</v>
      </c>
      <c r="Z252" s="1" t="str">
        <f t="shared" si="171"/>
        <v/>
      </c>
      <c r="AA252" s="79" t="e">
        <f>IF(IF(COUNTIF(AA4:AA251,AA251)&gt;=MAX(D4:D8),AA251+1,AA251)&gt;50,"",IF(COUNTIF(AA4:AA251,AA251)&gt;=MAX(D4:D8),AA251+1,AA251))</f>
        <v>#VALUE!</v>
      </c>
      <c r="AB252" s="1" t="e">
        <f>IF(AA252="","",VLOOKUP(AA252,S4:U53,3,0))</f>
        <v>#VALUE!</v>
      </c>
      <c r="AC252" s="8" t="str">
        <f t="shared" si="158"/>
        <v/>
      </c>
      <c r="AE252" s="71" t="e">
        <f t="shared" si="159"/>
        <v>#VALUE!</v>
      </c>
      <c r="AF252" s="71" t="str">
        <f>IF(OR(COUNTBLANK(AI252)=1,ISERROR(AI252)),"",COUNT(AI4:AI252))</f>
        <v/>
      </c>
      <c r="AG252" s="7" t="e">
        <f t="shared" si="160"/>
        <v>#VALUE!</v>
      </c>
      <c r="AH252" s="1" t="str">
        <f>IF(ISERROR(INDEX(C4:C8,MATCH(G252,D4:D8,0))),"",INDEX(C4:C8,MATCH(G252,D4:D8,0)))</f>
        <v/>
      </c>
      <c r="AI252" s="79" t="e">
        <f>IF(IF(COUNTIF(AI4:AI251,AI250)&gt;=MAX(D4:D8),AI250+2,AI250)&gt;50,"",IF(COUNTIF(AI4:AI251,AI250)&gt;=MAX(D4:D8),AI250+2,AI250))</f>
        <v>#VALUE!</v>
      </c>
      <c r="AJ252" s="1" t="e">
        <f>IF(AI252="","",VLOOKUP(AI252,S4:U53,3,0))</f>
        <v>#VALUE!</v>
      </c>
      <c r="AK252" s="8" t="str">
        <f t="shared" si="161"/>
        <v/>
      </c>
      <c r="AM252" s="71" t="e">
        <f t="shared" si="162"/>
        <v>#VALUE!</v>
      </c>
      <c r="AN252" s="71" t="str">
        <f>IF(OR(COUNTBLANK(AQ252)=1,ISERROR(AQ252)),"",COUNT(AQ4:AQ252))</f>
        <v/>
      </c>
      <c r="AO252" s="7" t="e">
        <f t="shared" si="163"/>
        <v>#VALUE!</v>
      </c>
      <c r="AP252" s="1" t="str">
        <f>IF(ISERROR(INDEX(C4:C8,MATCH(H252,D4:D8,0))),"",INDEX(C4:C8,MATCH(H252,D4:D8,0)))</f>
        <v/>
      </c>
      <c r="AQ252" s="79" t="e">
        <f>IF(IF(COUNTIF(AQ4:AQ251,AQ249)&gt;=MAX(D4:D8),AQ249+3,AQ249)&gt;50,"",IF(COUNTIF(AQ4:AQ251,AQ249)&gt;=MAX(D4:D8),AQ249+3,AQ249))</f>
        <v>#VALUE!</v>
      </c>
      <c r="AR252" s="1" t="e">
        <f>IF(AQ252="","",VLOOKUP(AQ252,S4:U53,3,0))</f>
        <v>#VALUE!</v>
      </c>
      <c r="AS252" s="8" t="str">
        <f t="shared" si="164"/>
        <v/>
      </c>
      <c r="AU252" s="71" t="e">
        <f t="shared" si="165"/>
        <v>#VALUE!</v>
      </c>
      <c r="AV252" s="71" t="str">
        <f>IF(OR(COUNTBLANK(AY252)=1,ISERROR(AY252)),"",COUNT(AY4:AY252))</f>
        <v/>
      </c>
      <c r="AW252" s="7" t="e">
        <f t="shared" si="166"/>
        <v>#VALUE!</v>
      </c>
      <c r="AX252" s="1" t="str">
        <f>IF(ISERROR(INDEX(C4:C8,MATCH(I252,D4:D8,0))),"",INDEX(C4:C8,MATCH(I252,D4:D8,0)))</f>
        <v/>
      </c>
      <c r="AY252" s="79" t="e">
        <f>IF(IF(COUNTIF(AY4:AY251,AY248)&gt;=MAX(D4:D8),AY248+4,AY248)&gt;50,"",IF(COUNTIF(AY4:AY251,AY248)&gt;=MAX(D4:D8),AY248+4,AY248))</f>
        <v>#VALUE!</v>
      </c>
      <c r="AZ252" s="76" t="e">
        <f>IF(AY252="","",VLOOKUP(AY252,S4:U53,3,0))</f>
        <v>#VALUE!</v>
      </c>
      <c r="BA252" s="8" t="str">
        <f t="shared" si="167"/>
        <v/>
      </c>
      <c r="BC252" s="71" t="e">
        <f t="shared" si="168"/>
        <v>#VALUE!</v>
      </c>
      <c r="BD252" s="71" t="str">
        <f>IF(OR(COUNTBLANK(BG252)=1,ISERROR(BG252)),"",COUNT(BG4:BG252))</f>
        <v/>
      </c>
      <c r="BE252" s="7" t="e">
        <f t="shared" si="169"/>
        <v>#VALUE!</v>
      </c>
      <c r="BF252" s="1" t="str">
        <f>IF(ISERROR(INDEX(C4:C8,MATCH(J252,D4:D8,0))),"",INDEX(C4:C8,MATCH(J252,D4:D8,0)))</f>
        <v/>
      </c>
      <c r="BG252" s="79" t="e">
        <f>IF(IF(COUNTIF(BG4:BG251,BG247)&gt;=MAX(D4:D8),BG247+5,BG247)&gt;50,"",IF(COUNTIF(BG4:BG251,BG247)&gt;=MAX(D4:D8),BG247+5,BG247))</f>
        <v>#VALUE!</v>
      </c>
      <c r="BH252" s="76" t="e">
        <f>IF(BG252="","",VLOOKUP(BG252,S4:U53,3,0))</f>
        <v>#VALUE!</v>
      </c>
      <c r="BI252" s="8" t="str">
        <f t="shared" si="170"/>
        <v/>
      </c>
      <c r="BP252" s="71" t="e">
        <f>IF(BT252="","",BT252*10+4)</f>
        <v>#VALUE!</v>
      </c>
      <c r="BQ252" s="71" t="str">
        <f>IF(OR(COUNTBLANK(BT252)=1,ISERROR(BT252)),"",COUNT(BT4:BT252))</f>
        <v/>
      </c>
      <c r="BR252" s="7" t="e">
        <f t="shared" si="172"/>
        <v>#VALUE!</v>
      </c>
      <c r="BS252" s="1" t="str">
        <f t="shared" si="173"/>
        <v/>
      </c>
      <c r="BT252" s="79" t="e">
        <f>IF(IF(COUNTIF($BT$4:BT251,BT251)&gt;=MAX($D$4:$D$8),BT251+1,BT251)&gt;55,"",IF(COUNTIF($BT$4:BT251,BT251)&gt;=MAX($D$4:$D$8),BT251+1,BT251))</f>
        <v>#VALUE!</v>
      </c>
      <c r="BU252" s="1" t="e">
        <f t="shared" si="174"/>
        <v>#VALUE!</v>
      </c>
      <c r="BV252" s="8" t="str">
        <f t="shared" si="175"/>
        <v/>
      </c>
      <c r="BX252" s="71" t="e">
        <f t="shared" si="176"/>
        <v>#VALUE!</v>
      </c>
      <c r="BY252" s="71" t="str">
        <f>IF(OR(COUNTBLANK(CB252)=1,ISERROR(CB252)),"",COUNT($CB$4:CB252))</f>
        <v/>
      </c>
      <c r="BZ252" s="7" t="e">
        <f t="shared" si="177"/>
        <v>#VALUE!</v>
      </c>
      <c r="CA252" s="1" t="str">
        <f t="shared" si="178"/>
        <v/>
      </c>
      <c r="CB252" s="79" t="e">
        <f>IF(IF(COUNTIF($CB$4:CB251,CB250)&gt;=MAX($D$4:$D$8),CB250+2,CB250)&gt;55,"",IF(COUNTIF($CB$4:CB251,CB250)&gt;=MAX($D$4:$D$8),CB250+2,CB250))</f>
        <v>#VALUE!</v>
      </c>
      <c r="CC252" s="1" t="e">
        <f t="shared" si="179"/>
        <v>#VALUE!</v>
      </c>
      <c r="CD252" s="8" t="str">
        <f t="shared" si="180"/>
        <v/>
      </c>
      <c r="CF252" s="71" t="e">
        <f t="shared" si="193"/>
        <v>#VALUE!</v>
      </c>
      <c r="CG252" s="71" t="str">
        <f>IF(OR(COUNTBLANK(CJ252)=1,ISERROR(CJ252)),"",COUNT($CJ$4:CJ252))</f>
        <v/>
      </c>
      <c r="CH252" s="7" t="e">
        <f t="shared" si="194"/>
        <v>#VALUE!</v>
      </c>
      <c r="CI252" s="1" t="str">
        <f t="shared" si="195"/>
        <v/>
      </c>
      <c r="CJ252" s="79" t="e">
        <f>IF(IF(COUNTIF($CJ$4:CJ251,CJ249)&gt;=MAX($D$4:$D$8),CJ249+3,CJ249)&gt;55,"",IF(COUNTIF($CJ$4:CJ251,CJ249)&gt;=MAX($D$4:$D$8),CJ249+3,CJ249))</f>
        <v>#VALUE!</v>
      </c>
      <c r="CK252" s="1" t="e">
        <f t="shared" si="181"/>
        <v>#VALUE!</v>
      </c>
      <c r="CL252" s="8" t="str">
        <f t="shared" si="196"/>
        <v/>
      </c>
      <c r="CN252" s="71" t="e">
        <f t="shared" si="187"/>
        <v>#VALUE!</v>
      </c>
      <c r="CO252" s="71" t="str">
        <f>IF(OR(COUNTBLANK(CR252)=1,ISERROR(CR252)),"",COUNT($CR$4:CR252))</f>
        <v/>
      </c>
      <c r="CP252" s="7" t="e">
        <f t="shared" si="188"/>
        <v>#VALUE!</v>
      </c>
      <c r="CQ252" s="1" t="str">
        <f t="shared" si="189"/>
        <v/>
      </c>
      <c r="CR252" s="79" t="e">
        <f>IF(IF(COUNTIF($CR$4:CR251,CR248)&gt;=MAX($D$4:$D$8),CR248+4,CR248)&gt;55,"",IF(COUNTIF($CR$4:CR251,CR248)&gt;=MAX($D$4:$D$8),CR248+4,CR248))</f>
        <v>#VALUE!</v>
      </c>
      <c r="CS252" s="1" t="e">
        <f t="shared" si="182"/>
        <v>#VALUE!</v>
      </c>
      <c r="CT252" s="8" t="str">
        <f t="shared" si="190"/>
        <v/>
      </c>
      <c r="CV252" s="71" t="e">
        <f t="shared" si="197"/>
        <v>#VALUE!</v>
      </c>
      <c r="CW252" s="71" t="str">
        <f>IF(OR(COUNTBLANK(CZ252)=1,ISERROR(CZ252)),"",COUNT($CZ$4:CZ252))</f>
        <v/>
      </c>
      <c r="CX252" s="7" t="e">
        <f t="shared" si="198"/>
        <v>#VALUE!</v>
      </c>
      <c r="CY252" s="1" t="str">
        <f t="shared" si="199"/>
        <v/>
      </c>
      <c r="CZ252" s="79" t="e">
        <f>IF(IF(COUNTIF($CZ$4:CZ251,CZ247)&gt;=MAX($D$4:$D$8),CZ247+5,CZ247)&gt;55,"",IF(COUNTIF($CZ$4:CZ251,CZ247)&gt;=MAX($D$4:$D$8),CZ247+5,CZ247))</f>
        <v>#VALUE!</v>
      </c>
      <c r="DA252" s="1" t="e">
        <f t="shared" si="183"/>
        <v>#VALUE!</v>
      </c>
      <c r="DB252" s="8" t="str">
        <f t="shared" si="200"/>
        <v/>
      </c>
    </row>
    <row r="253" spans="5:106" x14ac:dyDescent="0.15">
      <c r="E253" s="1">
        <v>250</v>
      </c>
      <c r="F253" s="1">
        <f t="shared" si="184"/>
        <v>1</v>
      </c>
      <c r="G253" s="1">
        <f t="shared" si="191"/>
        <v>1</v>
      </c>
      <c r="H253" s="1">
        <f t="shared" si="185"/>
        <v>1</v>
      </c>
      <c r="I253" s="1">
        <f t="shared" si="186"/>
        <v>1</v>
      </c>
      <c r="J253" s="1">
        <f t="shared" si="192"/>
        <v>1</v>
      </c>
      <c r="L253" s="1" t="str">
        <f>IF(ISERROR(HLOOKUP($C$10,$F$3:$J$253,251,0)),"",HLOOKUP($C$10,$F$3:$J$253,251,0))</f>
        <v/>
      </c>
      <c r="N253" s="67"/>
      <c r="W253" s="71" t="e">
        <f t="shared" ref="W253:W278" si="201">IF(AA253="","",AA253*10+5)</f>
        <v>#VALUE!</v>
      </c>
      <c r="X253" s="71" t="str">
        <f>IF(OR(COUNTBLANK(AA253)=1,ISERROR(AA253)),"",COUNT(AA4:AA253))</f>
        <v/>
      </c>
      <c r="Y253" s="7" t="e">
        <f t="shared" si="157"/>
        <v>#VALUE!</v>
      </c>
      <c r="Z253" s="1" t="str">
        <f t="shared" si="171"/>
        <v/>
      </c>
      <c r="AA253" s="79" t="e">
        <f>IF(IF(COUNTIF(AA4:AA252,AA252)&gt;=MAX(D4:D8),AA252+1,AA252)&gt;50,"",IF(COUNTIF(AA4:AA252,AA252)&gt;=MAX(D4:D8),AA252+1,AA252))</f>
        <v>#VALUE!</v>
      </c>
      <c r="AB253" s="1" t="e">
        <f>IF(AA253="","",VLOOKUP(AA253,S4:U53,3,0))</f>
        <v>#VALUE!</v>
      </c>
      <c r="AC253" s="8" t="str">
        <f t="shared" si="158"/>
        <v/>
      </c>
      <c r="AE253" s="71" t="e">
        <f t="shared" si="159"/>
        <v>#VALUE!</v>
      </c>
      <c r="AF253" s="71" t="str">
        <f>IF(OR(COUNTBLANK(AI253)=1,ISERROR(AI253)),"",COUNT(AI4:AI253))</f>
        <v/>
      </c>
      <c r="AG253" s="7" t="e">
        <f t="shared" si="160"/>
        <v>#VALUE!</v>
      </c>
      <c r="AH253" s="1" t="str">
        <f>IF(ISERROR(INDEX(C4:C8,MATCH(G253,D4:D8,0))),"",INDEX(C4:C8,MATCH(G253,D4:D8,0)))</f>
        <v/>
      </c>
      <c r="AI253" s="79" t="e">
        <f>IF(IF(COUNTIF(AI4:AI251,AI251)&gt;=MAX(D4:D8),AI251+2,AI251)&gt;50,"",IF(COUNTIF(AI4:AI251,AI251)&gt;=MAX(D4:D8),AI251+2,AI251))</f>
        <v>#VALUE!</v>
      </c>
      <c r="AJ253" s="1" t="e">
        <f>IF(AI253="","",VLOOKUP(AI253,S4:U53,3,0))</f>
        <v>#VALUE!</v>
      </c>
      <c r="AK253" s="8" t="str">
        <f t="shared" si="161"/>
        <v/>
      </c>
      <c r="AM253" s="71" t="e">
        <f t="shared" si="162"/>
        <v>#VALUE!</v>
      </c>
      <c r="AN253" s="71" t="str">
        <f>IF(OR(COUNTBLANK(AQ253)=1,ISERROR(AQ253)),"",COUNT(AQ4:AQ253))</f>
        <v/>
      </c>
      <c r="AO253" s="7" t="e">
        <f t="shared" si="163"/>
        <v>#VALUE!</v>
      </c>
      <c r="AP253" s="1" t="str">
        <f>IF(ISERROR(INDEX(C4:C8,MATCH(H253,D4:D8,0))),"",INDEX(C4:C8,MATCH(H253,D4:D8,0)))</f>
        <v/>
      </c>
      <c r="AQ253" s="79" t="e">
        <f>IF(IF(COUNTIF(AQ4:AQ252,AQ250)&gt;=MAX(D4:D8),AQ250+3,AQ250)&gt;50,"",IF(COUNTIF(AQ4:AQ252,AQ250)&gt;=MAX(D4:D8),AQ250+3,AQ250))</f>
        <v>#VALUE!</v>
      </c>
      <c r="AR253" s="1" t="e">
        <f>IF(AQ253="","",VLOOKUP(AQ253,S4:U53,3,0))</f>
        <v>#VALUE!</v>
      </c>
      <c r="AS253" s="8" t="str">
        <f t="shared" si="164"/>
        <v/>
      </c>
      <c r="AU253" s="71" t="e">
        <f t="shared" si="165"/>
        <v>#VALUE!</v>
      </c>
      <c r="AV253" s="71" t="str">
        <f>IF(OR(COUNTBLANK(AY253)=1,ISERROR(AY253)),"",COUNT(AY4:AY253))</f>
        <v/>
      </c>
      <c r="AW253" s="7" t="e">
        <f t="shared" si="166"/>
        <v>#VALUE!</v>
      </c>
      <c r="AX253" s="1" t="str">
        <f>IF(ISERROR(INDEX(C4:C8,MATCH(I253,D4:D8,0))),"",INDEX(C4:C8,MATCH(I253,D4:D8,0)))</f>
        <v/>
      </c>
      <c r="AY253" s="79" t="e">
        <f>IF(IF(COUNTIF(AY4:AY252,AY249)&gt;=MAX(D4:D8),AY249+4,AY249)&gt;50,"",IF(COUNTIF(AY4:AY252,AY249)&gt;=MAX(D4:D8),AY249+4,AY249))</f>
        <v>#VALUE!</v>
      </c>
      <c r="AZ253" s="76" t="e">
        <f>IF(AY253="","",VLOOKUP(AY253,S4:U53,3,0))</f>
        <v>#VALUE!</v>
      </c>
      <c r="BA253" s="8" t="str">
        <f t="shared" si="167"/>
        <v/>
      </c>
      <c r="BC253" s="71" t="e">
        <f t="shared" si="168"/>
        <v>#VALUE!</v>
      </c>
      <c r="BD253" s="71" t="str">
        <f>IF(OR(COUNTBLANK(BG253)=1,ISERROR(BG253)),"",COUNT(BG4:BG253))</f>
        <v/>
      </c>
      <c r="BE253" s="7" t="e">
        <f t="shared" si="169"/>
        <v>#VALUE!</v>
      </c>
      <c r="BF253" s="1" t="str">
        <f>IF(ISERROR(INDEX(C4:C8,MATCH(J253,D4:D8,0))),"",INDEX(C4:C8,MATCH(J253,D4:D8,0)))</f>
        <v/>
      </c>
      <c r="BG253" s="79" t="e">
        <f>IF(IF(COUNTIF(BG4:BG252,BG248)&gt;=MAX(D4:D8),BG248+5,BG248)&gt;50,"",IF(COUNTIF(BG4:BG252,BG248)&gt;=MAX(D4:D8),BG248+5,BG248))</f>
        <v>#VALUE!</v>
      </c>
      <c r="BH253" s="76" t="e">
        <f>IF(BG253="","",VLOOKUP(BG253,S4:U53,3,0))</f>
        <v>#VALUE!</v>
      </c>
      <c r="BI253" s="8" t="str">
        <f t="shared" si="170"/>
        <v/>
      </c>
      <c r="BP253" s="71" t="e">
        <f t="shared" ref="BP253:BP278" si="202">IF(BT253="","",BT253*10+5)</f>
        <v>#VALUE!</v>
      </c>
      <c r="BQ253" s="71" t="str">
        <f>IF(OR(COUNTBLANK(BT253)=1,ISERROR(BT253)),"",COUNT(BT4:BT253))</f>
        <v/>
      </c>
      <c r="BR253" s="7" t="e">
        <f t="shared" si="172"/>
        <v>#VALUE!</v>
      </c>
      <c r="BS253" s="1" t="str">
        <f t="shared" si="173"/>
        <v/>
      </c>
      <c r="BT253" s="79" t="e">
        <f>IF(IF(COUNTIF($BT$4:BT252,BT252)&gt;=MAX($D$4:$D$8),BT252+1,BT252)&gt;55,"",IF(COUNTIF($BT$4:BT252,BT252)&gt;=MAX($D$4:$D$8),BT252+1,BT252))</f>
        <v>#VALUE!</v>
      </c>
      <c r="BU253" s="1" t="e">
        <f t="shared" si="174"/>
        <v>#VALUE!</v>
      </c>
      <c r="BV253" s="8" t="str">
        <f t="shared" si="175"/>
        <v/>
      </c>
      <c r="BX253" s="71" t="e">
        <f t="shared" si="176"/>
        <v>#VALUE!</v>
      </c>
      <c r="BY253" s="71" t="str">
        <f>IF(OR(COUNTBLANK(CB253)=1,ISERROR(CB253)),"",COUNT($CB$4:CB253))</f>
        <v/>
      </c>
      <c r="BZ253" s="7" t="e">
        <f t="shared" si="177"/>
        <v>#VALUE!</v>
      </c>
      <c r="CA253" s="1" t="str">
        <f t="shared" si="178"/>
        <v/>
      </c>
      <c r="CB253" s="79" t="e">
        <f>IF(IF(COUNTIF($CB$4:CB252,CB251)&gt;=MAX($D$4:$D$8),CB251+2,CB251)&gt;55,"",IF(COUNTIF($CB$4:CB252,CB251)&gt;=MAX($D$4:$D$8),CB251+2,CB251))</f>
        <v>#VALUE!</v>
      </c>
      <c r="CC253" s="1" t="e">
        <f t="shared" si="179"/>
        <v>#VALUE!</v>
      </c>
      <c r="CD253" s="8" t="str">
        <f t="shared" si="180"/>
        <v/>
      </c>
      <c r="CF253" s="71" t="e">
        <f t="shared" si="193"/>
        <v>#VALUE!</v>
      </c>
      <c r="CG253" s="71" t="str">
        <f>IF(OR(COUNTBLANK(CJ253)=1,ISERROR(CJ253)),"",COUNT($CJ$4:CJ253))</f>
        <v/>
      </c>
      <c r="CH253" s="7" t="e">
        <f t="shared" si="194"/>
        <v>#VALUE!</v>
      </c>
      <c r="CI253" s="1" t="str">
        <f t="shared" si="195"/>
        <v/>
      </c>
      <c r="CJ253" s="79" t="e">
        <f>IF(IF(COUNTIF($CJ$4:CJ252,CJ250)&gt;=MAX($D$4:$D$8),CJ250+3,CJ250)&gt;55,"",IF(COUNTIF($CJ$4:CJ252,CJ250)&gt;=MAX($D$4:$D$8),CJ250+3,CJ250))</f>
        <v>#VALUE!</v>
      </c>
      <c r="CK253" s="1" t="e">
        <f t="shared" si="181"/>
        <v>#VALUE!</v>
      </c>
      <c r="CL253" s="8" t="str">
        <f t="shared" si="196"/>
        <v/>
      </c>
      <c r="CN253" s="71" t="e">
        <f t="shared" si="187"/>
        <v>#VALUE!</v>
      </c>
      <c r="CO253" s="71" t="str">
        <f>IF(OR(COUNTBLANK(CR253)=1,ISERROR(CR253)),"",COUNT($CR$4:CR253))</f>
        <v/>
      </c>
      <c r="CP253" s="7" t="e">
        <f t="shared" si="188"/>
        <v>#VALUE!</v>
      </c>
      <c r="CQ253" s="1" t="str">
        <f t="shared" si="189"/>
        <v/>
      </c>
      <c r="CR253" s="79" t="e">
        <f>IF(IF(COUNTIF($CR$4:CR252,CR249)&gt;=MAX($D$4:$D$8),CR249+4,CR249)&gt;55,"",IF(COUNTIF($CR$4:CR252,CR249)&gt;=MAX($D$4:$D$8),CR249+4,CR249))</f>
        <v>#VALUE!</v>
      </c>
      <c r="CS253" s="1" t="e">
        <f t="shared" si="182"/>
        <v>#VALUE!</v>
      </c>
      <c r="CT253" s="8" t="str">
        <f t="shared" si="190"/>
        <v/>
      </c>
      <c r="CV253" s="71" t="e">
        <f t="shared" si="197"/>
        <v>#VALUE!</v>
      </c>
      <c r="CW253" s="71" t="str">
        <f>IF(OR(COUNTBLANK(CZ253)=1,ISERROR(CZ253)),"",COUNT($CZ$4:CZ253))</f>
        <v/>
      </c>
      <c r="CX253" s="7" t="e">
        <f t="shared" si="198"/>
        <v>#VALUE!</v>
      </c>
      <c r="CY253" s="1" t="str">
        <f t="shared" si="199"/>
        <v/>
      </c>
      <c r="CZ253" s="79" t="e">
        <f>IF(IF(COUNTIF($CZ$4:CZ252,CZ248)&gt;=MAX($D$4:$D$8),CZ248+5,CZ248)&gt;55,"",IF(COUNTIF($CZ$4:CZ252,CZ248)&gt;=MAX($D$4:$D$8),CZ248+5,CZ248))</f>
        <v>#VALUE!</v>
      </c>
      <c r="DA253" s="1" t="e">
        <f t="shared" si="183"/>
        <v>#VALUE!</v>
      </c>
      <c r="DB253" s="8" t="str">
        <f t="shared" si="200"/>
        <v/>
      </c>
    </row>
    <row r="254" spans="5:106" x14ac:dyDescent="0.15">
      <c r="E254" s="1">
        <v>251</v>
      </c>
      <c r="F254" s="1">
        <f t="shared" si="184"/>
        <v>1</v>
      </c>
      <c r="G254" s="1">
        <f t="shared" si="191"/>
        <v>1</v>
      </c>
      <c r="H254" s="1">
        <f t="shared" si="185"/>
        <v>1</v>
      </c>
      <c r="I254" s="1">
        <f t="shared" si="186"/>
        <v>1</v>
      </c>
      <c r="J254" s="1">
        <f t="shared" si="192"/>
        <v>1</v>
      </c>
      <c r="W254" s="71" t="e">
        <f t="shared" si="201"/>
        <v>#VALUE!</v>
      </c>
      <c r="X254" s="71" t="str">
        <f>IF(OR(COUNTBLANK(AA254)=1,ISERROR(AA254)),"",COUNT(AA4:AA254))</f>
        <v/>
      </c>
      <c r="Y254" s="7" t="e">
        <f t="shared" si="157"/>
        <v>#VALUE!</v>
      </c>
      <c r="Z254" s="1" t="str">
        <f t="shared" si="171"/>
        <v/>
      </c>
      <c r="AA254" s="79" t="e">
        <f>IF(IF(COUNTIF(AA4:AA253,AA253)&gt;=MAX(D4:D8),AA253+1,AA253)&gt;50,"",IF(COUNTIF(AA4:AA253,AA253)&gt;=MAX(D4:D8),AA253+1,AA253))</f>
        <v>#VALUE!</v>
      </c>
      <c r="AB254" s="1" t="e">
        <f>IF(AA254="","",VLOOKUP(AA254,S4:U53,3,0))</f>
        <v>#VALUE!</v>
      </c>
      <c r="AC254" s="8" t="str">
        <f t="shared" si="158"/>
        <v/>
      </c>
      <c r="AE254" s="71" t="e">
        <f t="shared" si="159"/>
        <v>#VALUE!</v>
      </c>
      <c r="AF254" s="71" t="str">
        <f>IF(OR(COUNTBLANK(AI254)=1,ISERROR(AI254)),"",COUNT(AI4:AI254))</f>
        <v/>
      </c>
      <c r="AG254" s="7" t="e">
        <f t="shared" si="160"/>
        <v>#VALUE!</v>
      </c>
      <c r="AH254" s="1" t="str">
        <f>IF(ISERROR(INDEX(C4:C8,MATCH(G254,D4:D8,0))),"",INDEX(C4:C8,MATCH(G254,D4:D8,0)))</f>
        <v/>
      </c>
      <c r="AI254" s="79" t="e">
        <f>IF(IF(COUNTIF(AI4:AI252,AI252)&gt;=MAX(D4:D8),AI252+2,AI252)&gt;50,"",IF(COUNTIF(AI4:AI252,AI252)&gt;=MAX(D4:D8),AI252+2,AI252))</f>
        <v>#VALUE!</v>
      </c>
      <c r="AJ254" s="1" t="e">
        <f>IF(AI254="","",VLOOKUP(AI254,S4:U53,3,0))</f>
        <v>#VALUE!</v>
      </c>
      <c r="AK254" s="8" t="str">
        <f t="shared" si="161"/>
        <v/>
      </c>
      <c r="AM254" s="71" t="e">
        <f t="shared" si="162"/>
        <v>#VALUE!</v>
      </c>
      <c r="AN254" s="71" t="str">
        <f>IF(OR(COUNTBLANK(AQ254)=1,ISERROR(AQ254)),"",COUNT(AQ4:AQ254))</f>
        <v/>
      </c>
      <c r="AO254" s="7" t="e">
        <f t="shared" si="163"/>
        <v>#VALUE!</v>
      </c>
      <c r="AP254" s="1" t="str">
        <f>IF(ISERROR(INDEX(C4:C8,MATCH(H254,D4:D8,0))),"",INDEX(C4:C8,MATCH(H254,D4:D8,0)))</f>
        <v/>
      </c>
      <c r="AQ254" s="79" t="e">
        <f>IF(IF(COUNTIF(AQ4:AQ253,AQ251)&gt;=MAX(D4:D8),AQ251+3,AQ251)&gt;50,"",IF(COUNTIF(AQ4:AQ253,AQ251)&gt;=MAX(D4:D8),AQ251+3,AQ251))</f>
        <v>#VALUE!</v>
      </c>
      <c r="AR254" s="1" t="e">
        <f>IF(AQ254="","",VLOOKUP(AQ254,S4:U53,3,0))</f>
        <v>#VALUE!</v>
      </c>
      <c r="AS254" s="8" t="str">
        <f t="shared" si="164"/>
        <v/>
      </c>
      <c r="AU254" s="71" t="e">
        <f t="shared" si="165"/>
        <v>#VALUE!</v>
      </c>
      <c r="AV254" s="71" t="str">
        <f>IF(OR(COUNTBLANK(AY254)=1,ISERROR(AY254)),"",COUNT(AY4:AY254))</f>
        <v/>
      </c>
      <c r="AW254" s="7" t="e">
        <f t="shared" si="166"/>
        <v>#VALUE!</v>
      </c>
      <c r="AX254" s="1" t="str">
        <f>IF(ISERROR(INDEX(C4:C8,MATCH(I254,D4:D8,0))),"",INDEX(C4:C8,MATCH(I254,D4:D8,0)))</f>
        <v/>
      </c>
      <c r="AY254" s="79" t="e">
        <f>IF(IF(COUNTIF(AY4:AY253,AY250)&gt;=MAX(D4:D8),AY250+4,AY250)&gt;50,"",IF(COUNTIF(AY4:AY253,AY250)&gt;=MAX(D4:D8),AY250+4,AY250))</f>
        <v>#VALUE!</v>
      </c>
      <c r="AZ254" s="76" t="e">
        <f>IF(AY254="","",VLOOKUP(AY254,S4:U53,3,0))</f>
        <v>#VALUE!</v>
      </c>
      <c r="BA254" s="8" t="str">
        <f t="shared" si="167"/>
        <v/>
      </c>
      <c r="BC254" s="71" t="e">
        <f t="shared" si="168"/>
        <v>#VALUE!</v>
      </c>
      <c r="BD254" s="71" t="str">
        <f>IF(OR(COUNTBLANK(BG254)=1,ISERROR(BG254)),"",COUNT(BG4:BG254))</f>
        <v/>
      </c>
      <c r="BE254" s="7" t="e">
        <f t="shared" si="169"/>
        <v>#VALUE!</v>
      </c>
      <c r="BF254" s="1" t="str">
        <f>IF(ISERROR(INDEX(C4:C8,MATCH(J254,D4:D8,0))),"",INDEX(C4:C8,MATCH(J254,D4:D8,0)))</f>
        <v/>
      </c>
      <c r="BG254" s="79" t="e">
        <f>IF(IF(COUNTIF(BG4:BG253,BG249)&gt;=MAX(D4:D8),BG249+5,BG249)&gt;50,"",IF(COUNTIF(BG4:BG253,BG249)&gt;=MAX(D4:D8),BG249+5,BG249))</f>
        <v>#VALUE!</v>
      </c>
      <c r="BH254" s="76" t="e">
        <f>IF(BG254="","",VLOOKUP(BG254,S4:U53,3,0))</f>
        <v>#VALUE!</v>
      </c>
      <c r="BI254" s="8" t="str">
        <f t="shared" si="170"/>
        <v/>
      </c>
      <c r="BP254" s="71" t="e">
        <f t="shared" si="202"/>
        <v>#VALUE!</v>
      </c>
      <c r="BQ254" s="71" t="str">
        <f>IF(OR(COUNTBLANK(BT254)=1,ISERROR(BT254)),"",COUNT(BT4:BT254))</f>
        <v/>
      </c>
      <c r="BR254" s="7" t="e">
        <f t="shared" si="172"/>
        <v>#VALUE!</v>
      </c>
      <c r="BS254" s="1" t="str">
        <f t="shared" si="173"/>
        <v/>
      </c>
      <c r="BT254" s="79" t="e">
        <f>IF(IF(COUNTIF($BT$4:BT253,BT253)&gt;=MAX($D$4:$D$8),BT253+1,BT253)&gt;55,"",IF(COUNTIF($BT$4:BT253,BT253)&gt;=MAX($D$4:$D$8),BT253+1,BT253))</f>
        <v>#VALUE!</v>
      </c>
      <c r="BU254" s="1" t="e">
        <f t="shared" si="174"/>
        <v>#VALUE!</v>
      </c>
      <c r="BV254" s="8" t="str">
        <f t="shared" si="175"/>
        <v/>
      </c>
      <c r="BX254" s="71" t="e">
        <f t="shared" si="176"/>
        <v>#VALUE!</v>
      </c>
      <c r="BY254" s="71" t="str">
        <f>IF(OR(COUNTBLANK(CB254)=1,ISERROR(CB254)),"",COUNT($CB$4:CB254))</f>
        <v/>
      </c>
      <c r="BZ254" s="7" t="e">
        <f t="shared" si="177"/>
        <v>#VALUE!</v>
      </c>
      <c r="CA254" s="1" t="str">
        <f t="shared" si="178"/>
        <v/>
      </c>
      <c r="CB254" s="79" t="e">
        <f>IF(IF(COUNTIF($CB$4:CB253,CB252)&gt;=MAX($D$4:$D$8),CB252+2,CB252)&gt;55,"",IF(COUNTIF($CB$4:CB253,CB252)&gt;=MAX($D$4:$D$8),CB252+2,CB252))</f>
        <v>#VALUE!</v>
      </c>
      <c r="CC254" s="1" t="e">
        <f t="shared" si="179"/>
        <v>#VALUE!</v>
      </c>
      <c r="CD254" s="8" t="str">
        <f t="shared" si="180"/>
        <v/>
      </c>
      <c r="CF254" s="71" t="e">
        <f t="shared" si="193"/>
        <v>#VALUE!</v>
      </c>
      <c r="CG254" s="71" t="str">
        <f>IF(OR(COUNTBLANK(CJ254)=1,ISERROR(CJ254)),"",COUNT($CJ$4:CJ254))</f>
        <v/>
      </c>
      <c r="CH254" s="7" t="e">
        <f t="shared" si="194"/>
        <v>#VALUE!</v>
      </c>
      <c r="CI254" s="1" t="str">
        <f t="shared" si="195"/>
        <v/>
      </c>
      <c r="CJ254" s="79" t="e">
        <f>IF(IF(COUNTIF($CJ$4:CJ253,CJ251)&gt;=MAX($D$4:$D$8),CJ251+3,CJ251)&gt;55,"",IF(COUNTIF($CJ$4:CJ253,CJ251)&gt;=MAX($D$4:$D$8),CJ251+3,CJ251))</f>
        <v>#VALUE!</v>
      </c>
      <c r="CK254" s="1" t="e">
        <f t="shared" si="181"/>
        <v>#VALUE!</v>
      </c>
      <c r="CL254" s="8" t="str">
        <f t="shared" si="196"/>
        <v/>
      </c>
      <c r="CN254" s="71" t="e">
        <f t="shared" si="187"/>
        <v>#VALUE!</v>
      </c>
      <c r="CO254" s="71" t="str">
        <f>IF(OR(COUNTBLANK(CR254)=1,ISERROR(CR254)),"",COUNT($CR$4:CR254))</f>
        <v/>
      </c>
      <c r="CP254" s="7" t="e">
        <f t="shared" si="188"/>
        <v>#VALUE!</v>
      </c>
      <c r="CQ254" s="1" t="str">
        <f t="shared" si="189"/>
        <v/>
      </c>
      <c r="CR254" s="79" t="e">
        <f>IF(IF(COUNTIF($CR$4:CR253,CR250)&gt;=MAX($D$4:$D$8),CR250+4,CR250)&gt;55,"",IF(COUNTIF($CR$4:CR253,CR250)&gt;=MAX($D$4:$D$8),CR250+4,CR250))</f>
        <v>#VALUE!</v>
      </c>
      <c r="CS254" s="1" t="e">
        <f t="shared" si="182"/>
        <v>#VALUE!</v>
      </c>
      <c r="CT254" s="8" t="str">
        <f t="shared" si="190"/>
        <v/>
      </c>
      <c r="CV254" s="71" t="e">
        <f t="shared" si="197"/>
        <v>#VALUE!</v>
      </c>
      <c r="CW254" s="71" t="str">
        <f>IF(OR(COUNTBLANK(CZ254)=1,ISERROR(CZ254)),"",COUNT($CZ$4:CZ254))</f>
        <v/>
      </c>
      <c r="CX254" s="7" t="e">
        <f t="shared" si="198"/>
        <v>#VALUE!</v>
      </c>
      <c r="CY254" s="1" t="str">
        <f t="shared" si="199"/>
        <v/>
      </c>
      <c r="CZ254" s="79" t="e">
        <f>IF(IF(COUNTIF($CZ$4:CZ253,CZ249)&gt;=MAX($D$4:$D$8),CZ249+5,CZ249)&gt;55,"",IF(COUNTIF($CZ$4:CZ253,CZ249)&gt;=MAX($D$4:$D$8),CZ249+5,CZ249))</f>
        <v>#VALUE!</v>
      </c>
      <c r="DA254" s="1" t="e">
        <f t="shared" si="183"/>
        <v>#VALUE!</v>
      </c>
      <c r="DB254" s="8" t="str">
        <f t="shared" si="200"/>
        <v/>
      </c>
    </row>
    <row r="255" spans="5:106" x14ac:dyDescent="0.15">
      <c r="E255" s="1">
        <v>252</v>
      </c>
      <c r="F255" s="1">
        <f t="shared" si="184"/>
        <v>1</v>
      </c>
      <c r="G255" s="1">
        <f t="shared" si="191"/>
        <v>1</v>
      </c>
      <c r="H255" s="1">
        <f t="shared" si="185"/>
        <v>1</v>
      </c>
      <c r="I255" s="1">
        <f t="shared" si="186"/>
        <v>1</v>
      </c>
      <c r="J255" s="1">
        <f t="shared" si="192"/>
        <v>1</v>
      </c>
      <c r="W255" s="71" t="e">
        <f t="shared" si="201"/>
        <v>#VALUE!</v>
      </c>
      <c r="X255" s="71" t="str">
        <f>IF(OR(COUNTBLANK(AA255)=1,ISERROR(AA255)),"",COUNT(AA4:AA255))</f>
        <v/>
      </c>
      <c r="Y255" s="7" t="e">
        <f t="shared" si="157"/>
        <v>#VALUE!</v>
      </c>
      <c r="Z255" s="1" t="str">
        <f t="shared" si="171"/>
        <v/>
      </c>
      <c r="AA255" s="79" t="e">
        <f>IF(IF(COUNTIF(AA4:AA254,AA254)&gt;=MAX(D4:D8),AA254+1,AA254)&gt;50,"",IF(COUNTIF(AA4:AA254,AA254)&gt;=MAX(D4:D8),AA254+1,AA254))</f>
        <v>#VALUE!</v>
      </c>
      <c r="AB255" s="1" t="e">
        <f>IF(AA255="","",VLOOKUP(AA255,S4:U53,3,0))</f>
        <v>#VALUE!</v>
      </c>
      <c r="AC255" s="8" t="str">
        <f t="shared" si="158"/>
        <v/>
      </c>
      <c r="AE255" s="71" t="e">
        <f t="shared" si="159"/>
        <v>#VALUE!</v>
      </c>
      <c r="AF255" s="71" t="str">
        <f>IF(OR(COUNTBLANK(AI255)=1,ISERROR(AI255)),"",COUNT(AI4:AI255))</f>
        <v/>
      </c>
      <c r="AG255" s="7" t="e">
        <f t="shared" si="160"/>
        <v>#VALUE!</v>
      </c>
      <c r="AH255" s="1" t="str">
        <f>IF(ISERROR(INDEX(C4:C8,MATCH(G255,D4:D8,0))),"",INDEX(C4:C8,MATCH(G255,D4:D8,0)))</f>
        <v/>
      </c>
      <c r="AI255" s="79" t="e">
        <f>IF(IF(COUNTIF(AI4:AI253,AI253)&gt;=MAX(D4:D8),AI253+2,AI253)&gt;50,"",IF(COUNTIF(AI4:AI253,AI253)&gt;=MAX(D4:D8),AI253+2,AI253))</f>
        <v>#VALUE!</v>
      </c>
      <c r="AJ255" s="1" t="e">
        <f>IF(AI255="","",VLOOKUP(AI255,S4:U53,3,0))</f>
        <v>#VALUE!</v>
      </c>
      <c r="AK255" s="8" t="str">
        <f t="shared" si="161"/>
        <v/>
      </c>
      <c r="AM255" s="71" t="e">
        <f t="shared" si="162"/>
        <v>#VALUE!</v>
      </c>
      <c r="AN255" s="71" t="str">
        <f>IF(OR(COUNTBLANK(AQ255)=1,ISERROR(AQ255)),"",COUNT(AQ4:AQ255))</f>
        <v/>
      </c>
      <c r="AO255" s="7" t="e">
        <f t="shared" si="163"/>
        <v>#VALUE!</v>
      </c>
      <c r="AP255" s="1" t="str">
        <f>IF(ISERROR(INDEX(C4:C8,MATCH(H255,D4:D8,0))),"",INDEX(C4:C8,MATCH(H255,D4:D8,0)))</f>
        <v/>
      </c>
      <c r="AQ255" s="79" t="e">
        <f>IF(IF(COUNTIF(AQ4:AQ254,AQ252)&gt;=MAX(D4:D8),AQ252+3,AQ252)&gt;50,"",IF(COUNTIF(AQ4:AQ254,AQ252)&gt;=MAX(D4:D8),AQ252+3,AQ252))</f>
        <v>#VALUE!</v>
      </c>
      <c r="AR255" s="1" t="e">
        <f>IF(AQ255="","",VLOOKUP(AQ255,S4:U53,3,0))</f>
        <v>#VALUE!</v>
      </c>
      <c r="AS255" s="8" t="str">
        <f t="shared" si="164"/>
        <v/>
      </c>
      <c r="AU255" s="71" t="e">
        <f t="shared" si="165"/>
        <v>#VALUE!</v>
      </c>
      <c r="AV255" s="71" t="str">
        <f>IF(OR(COUNTBLANK(AY255)=1,ISERROR(AY255)),"",COUNT(AY4:AY255))</f>
        <v/>
      </c>
      <c r="AW255" s="7" t="e">
        <f t="shared" si="166"/>
        <v>#VALUE!</v>
      </c>
      <c r="AX255" s="1" t="str">
        <f>IF(ISERROR(INDEX(C4:C8,MATCH(I255,D4:D8,0))),"",INDEX(C4:C8,MATCH(I255,D4:D8,0)))</f>
        <v/>
      </c>
      <c r="AY255" s="79" t="e">
        <f>IF(IF(COUNTIF(AY4:AY254,AY251)&gt;=MAX(D4:D8),AY251+4,AY251)&gt;50,"",IF(COUNTIF(AY4:AY254,AY251)&gt;=MAX(D4:D8),AY251+4,AY251))</f>
        <v>#VALUE!</v>
      </c>
      <c r="AZ255" s="76" t="e">
        <f>IF(AY255="","",VLOOKUP(AY255,S4:U53,3,0))</f>
        <v>#VALUE!</v>
      </c>
      <c r="BA255" s="8" t="str">
        <f t="shared" si="167"/>
        <v/>
      </c>
      <c r="BC255" s="71" t="e">
        <f t="shared" si="168"/>
        <v>#VALUE!</v>
      </c>
      <c r="BD255" s="71" t="str">
        <f>IF(OR(COUNTBLANK(BG255)=1,ISERROR(BG255)),"",COUNT(BG4:BG255))</f>
        <v/>
      </c>
      <c r="BE255" s="7" t="e">
        <f t="shared" si="169"/>
        <v>#VALUE!</v>
      </c>
      <c r="BF255" s="1" t="str">
        <f>IF(ISERROR(INDEX(C4:C8,MATCH(J255,D4:D8,0))),"",INDEX(C4:C8,MATCH(J255,D4:D8,0)))</f>
        <v/>
      </c>
      <c r="BG255" s="79" t="e">
        <f>IF(IF(COUNTIF(BG4:BG254,BG250)&gt;=MAX(D4:D8),BG250+5,BG250)&gt;50,"",IF(COUNTIF(BG4:BG254,BG250)&gt;=MAX(D4:D8),BG250+5,BG250))</f>
        <v>#VALUE!</v>
      </c>
      <c r="BH255" s="76" t="e">
        <f>IF(BG255="","",VLOOKUP(BG255,S4:U53,3,0))</f>
        <v>#VALUE!</v>
      </c>
      <c r="BI255" s="8" t="str">
        <f t="shared" si="170"/>
        <v/>
      </c>
      <c r="BP255" s="71" t="e">
        <f t="shared" si="202"/>
        <v>#VALUE!</v>
      </c>
      <c r="BQ255" s="71" t="str">
        <f>IF(OR(COUNTBLANK(BT255)=1,ISERROR(BT255)),"",COUNT(BT4:BT255))</f>
        <v/>
      </c>
      <c r="BR255" s="7" t="e">
        <f t="shared" si="172"/>
        <v>#VALUE!</v>
      </c>
      <c r="BS255" s="1" t="str">
        <f t="shared" si="173"/>
        <v/>
      </c>
      <c r="BT255" s="79" t="e">
        <f>IF(IF(COUNTIF($BT$4:BT254,BT254)&gt;=MAX($D$4:$D$8),BT254+1,BT254)&gt;55,"",IF(COUNTIF($BT$4:BT254,BT254)&gt;=MAX($D$4:$D$8),BT254+1,BT254))</f>
        <v>#VALUE!</v>
      </c>
      <c r="BU255" s="1" t="e">
        <f t="shared" si="174"/>
        <v>#VALUE!</v>
      </c>
      <c r="BV255" s="8" t="str">
        <f t="shared" si="175"/>
        <v/>
      </c>
      <c r="BX255" s="71" t="e">
        <f t="shared" si="176"/>
        <v>#VALUE!</v>
      </c>
      <c r="BY255" s="71" t="str">
        <f>IF(OR(COUNTBLANK(CB255)=1,ISERROR(CB255)),"",COUNT($CB$4:CB255))</f>
        <v/>
      </c>
      <c r="BZ255" s="7" t="e">
        <f t="shared" si="177"/>
        <v>#VALUE!</v>
      </c>
      <c r="CA255" s="1" t="str">
        <f t="shared" si="178"/>
        <v/>
      </c>
      <c r="CB255" s="79" t="e">
        <f>IF(IF(COUNTIF($CB$4:CB254,CB253)&gt;=MAX($D$4:$D$8),CB253+2,CB253)&gt;55,"",IF(COUNTIF($CB$4:CB254,CB253)&gt;=MAX($D$4:$D$8),CB253+2,CB253))</f>
        <v>#VALUE!</v>
      </c>
      <c r="CC255" s="1" t="e">
        <f t="shared" si="179"/>
        <v>#VALUE!</v>
      </c>
      <c r="CD255" s="8" t="str">
        <f t="shared" si="180"/>
        <v/>
      </c>
      <c r="CF255" s="71" t="e">
        <f t="shared" si="193"/>
        <v>#VALUE!</v>
      </c>
      <c r="CG255" s="71" t="str">
        <f>IF(OR(COUNTBLANK(CJ255)=1,ISERROR(CJ255)),"",COUNT($CJ$4:CJ255))</f>
        <v/>
      </c>
      <c r="CH255" s="7" t="e">
        <f t="shared" si="194"/>
        <v>#VALUE!</v>
      </c>
      <c r="CI255" s="1" t="str">
        <f t="shared" si="195"/>
        <v/>
      </c>
      <c r="CJ255" s="79" t="e">
        <f>IF(IF(COUNTIF($CJ$4:CJ254,CJ252)&gt;=MAX($D$4:$D$8),CJ252+3,CJ252)&gt;55,"",IF(COUNTIF($CJ$4:CJ254,CJ252)&gt;=MAX($D$4:$D$8),CJ252+3,CJ252))</f>
        <v>#VALUE!</v>
      </c>
      <c r="CK255" s="1" t="e">
        <f t="shared" si="181"/>
        <v>#VALUE!</v>
      </c>
      <c r="CL255" s="8" t="str">
        <f t="shared" si="196"/>
        <v/>
      </c>
      <c r="CN255" s="71" t="e">
        <f t="shared" si="187"/>
        <v>#VALUE!</v>
      </c>
      <c r="CO255" s="71" t="str">
        <f>IF(OR(COUNTBLANK(CR255)=1,ISERROR(CR255)),"",COUNT($CR$4:CR255))</f>
        <v/>
      </c>
      <c r="CP255" s="7" t="e">
        <f t="shared" si="188"/>
        <v>#VALUE!</v>
      </c>
      <c r="CQ255" s="1" t="str">
        <f t="shared" si="189"/>
        <v/>
      </c>
      <c r="CR255" s="79" t="e">
        <f>IF(IF(COUNTIF($CR$4:CR254,CR251)&gt;=MAX($D$4:$D$8),CR251+4,CR251)&gt;55,"",IF(COUNTIF($CR$4:CR254,CR251)&gt;=MAX($D$4:$D$8),CR251+4,CR251))</f>
        <v>#VALUE!</v>
      </c>
      <c r="CS255" s="1" t="e">
        <f t="shared" si="182"/>
        <v>#VALUE!</v>
      </c>
      <c r="CT255" s="8" t="str">
        <f t="shared" si="190"/>
        <v/>
      </c>
      <c r="CV255" s="71" t="e">
        <f t="shared" si="197"/>
        <v>#VALUE!</v>
      </c>
      <c r="CW255" s="71" t="str">
        <f>IF(OR(COUNTBLANK(CZ255)=1,ISERROR(CZ255)),"",COUNT($CZ$4:CZ255))</f>
        <v/>
      </c>
      <c r="CX255" s="7" t="e">
        <f t="shared" si="198"/>
        <v>#VALUE!</v>
      </c>
      <c r="CY255" s="1" t="str">
        <f t="shared" si="199"/>
        <v/>
      </c>
      <c r="CZ255" s="79" t="e">
        <f>IF(IF(COUNTIF($CZ$4:CZ254,CZ250)&gt;=MAX($D$4:$D$8),CZ250+5,CZ250)&gt;55,"",IF(COUNTIF($CZ$4:CZ254,CZ250)&gt;=MAX($D$4:$D$8),CZ250+5,CZ250))</f>
        <v>#VALUE!</v>
      </c>
      <c r="DA255" s="1" t="e">
        <f t="shared" si="183"/>
        <v>#VALUE!</v>
      </c>
      <c r="DB255" s="8" t="str">
        <f t="shared" si="200"/>
        <v/>
      </c>
    </row>
    <row r="256" spans="5:106" x14ac:dyDescent="0.15">
      <c r="E256" s="1">
        <v>253</v>
      </c>
      <c r="F256" s="1">
        <f t="shared" si="184"/>
        <v>1</v>
      </c>
      <c r="G256" s="1">
        <f t="shared" si="191"/>
        <v>1</v>
      </c>
      <c r="H256" s="1">
        <f t="shared" si="185"/>
        <v>1</v>
      </c>
      <c r="I256" s="1">
        <f t="shared" si="186"/>
        <v>1</v>
      </c>
      <c r="J256" s="1">
        <f t="shared" si="192"/>
        <v>1</v>
      </c>
      <c r="W256" s="71" t="e">
        <f t="shared" si="201"/>
        <v>#VALUE!</v>
      </c>
      <c r="X256" s="71" t="str">
        <f>IF(OR(COUNTBLANK(AA256)=1,ISERROR(AA256)),"",COUNT(AA4:AA256))</f>
        <v/>
      </c>
      <c r="Y256" s="7" t="e">
        <f t="shared" si="157"/>
        <v>#VALUE!</v>
      </c>
      <c r="Z256" s="1" t="str">
        <f t="shared" si="171"/>
        <v/>
      </c>
      <c r="AA256" s="79" t="e">
        <f>IF(IF(COUNTIF(AA4:AA255,AA255)&gt;=MAX(D4:D8),AA255+1,AA255)&gt;50,"",IF(COUNTIF(AA4:AA255,AA255)&gt;=MAX(D4:D8),AA255+1,AA255))</f>
        <v>#VALUE!</v>
      </c>
      <c r="AB256" s="1" t="e">
        <f>IF(AA256="","",VLOOKUP(AA256,S4:U53,3,0))</f>
        <v>#VALUE!</v>
      </c>
      <c r="AC256" s="8" t="str">
        <f t="shared" si="158"/>
        <v/>
      </c>
      <c r="AE256" s="71" t="e">
        <f t="shared" si="159"/>
        <v>#VALUE!</v>
      </c>
      <c r="AF256" s="71" t="str">
        <f>IF(OR(COUNTBLANK(AI256)=1,ISERROR(AI256)),"",COUNT(AI4:AI256))</f>
        <v/>
      </c>
      <c r="AG256" s="7" t="e">
        <f t="shared" si="160"/>
        <v>#VALUE!</v>
      </c>
      <c r="AH256" s="1" t="str">
        <f>IF(ISERROR(INDEX(C4:C8,MATCH(G256,D4:D8,0))),"",INDEX(C4:C8,MATCH(G256,D4:D8,0)))</f>
        <v/>
      </c>
      <c r="AI256" s="79" t="e">
        <f>IF(IF(COUNTIF(AI4:AI254,AI254)&gt;=MAX(D4:D8),AI254+2,AI254)&gt;50,"",IF(COUNTIF(AI4:AI254,AI254)&gt;=MAX(D4:D8),AI254+2,AI254))</f>
        <v>#VALUE!</v>
      </c>
      <c r="AJ256" s="1" t="e">
        <f>IF(AI256="","",VLOOKUP(AI256,S4:U53,3,0))</f>
        <v>#VALUE!</v>
      </c>
      <c r="AK256" s="8" t="str">
        <f t="shared" si="161"/>
        <v/>
      </c>
      <c r="AM256" s="71" t="e">
        <f t="shared" si="162"/>
        <v>#VALUE!</v>
      </c>
      <c r="AN256" s="71" t="str">
        <f>IF(OR(COUNTBLANK(AQ256)=1,ISERROR(AQ256)),"",COUNT(AQ4:AQ256))</f>
        <v/>
      </c>
      <c r="AO256" s="7" t="e">
        <f t="shared" si="163"/>
        <v>#VALUE!</v>
      </c>
      <c r="AP256" s="1" t="str">
        <f>IF(ISERROR(INDEX(C4:C8,MATCH(H256,D4:D8,0))),"",INDEX(C4:C8,MATCH(H256,D4:D8,0)))</f>
        <v/>
      </c>
      <c r="AQ256" s="79" t="e">
        <f>IF(IF(COUNTIF(AQ4:AQ255,AQ253)&gt;=MAX(D4:D8),AQ253+3,AQ253)&gt;50,"",IF(COUNTIF(AQ4:AQ255,AQ253)&gt;=MAX(D4:D8),AQ253+3,AQ253))</f>
        <v>#VALUE!</v>
      </c>
      <c r="AR256" s="1" t="e">
        <f>IF(AQ256="","",VLOOKUP(AQ256,S4:U53,3,0))</f>
        <v>#VALUE!</v>
      </c>
      <c r="AS256" s="8" t="str">
        <f t="shared" si="164"/>
        <v/>
      </c>
      <c r="AU256" s="71" t="e">
        <f t="shared" si="165"/>
        <v>#VALUE!</v>
      </c>
      <c r="AV256" s="71" t="str">
        <f>IF(OR(COUNTBLANK(AY256)=1,ISERROR(AY256)),"",COUNT(AY4:AY256))</f>
        <v/>
      </c>
      <c r="AW256" s="7" t="e">
        <f t="shared" si="166"/>
        <v>#VALUE!</v>
      </c>
      <c r="AX256" s="1" t="str">
        <f>IF(ISERROR(INDEX(C4:C8,MATCH(I256,D4:D8,0))),"",INDEX(C4:C8,MATCH(I256,D4:D8,0)))</f>
        <v/>
      </c>
      <c r="AY256" s="79" t="e">
        <f>IF(IF(COUNTIF(AY4:AY255,AY252)&gt;=MAX(D4:D8),AY252+4,AY252)&gt;50,"",IF(COUNTIF(AY4:AY255,AY252)&gt;=MAX(D4:D8),AY252+4,AY252))</f>
        <v>#VALUE!</v>
      </c>
      <c r="AZ256" s="76" t="e">
        <f>IF(AY256="","",VLOOKUP(AY256,S4:U53,3,0))</f>
        <v>#VALUE!</v>
      </c>
      <c r="BA256" s="8" t="str">
        <f t="shared" si="167"/>
        <v/>
      </c>
      <c r="BC256" s="71" t="e">
        <f t="shared" si="168"/>
        <v>#VALUE!</v>
      </c>
      <c r="BD256" s="71" t="str">
        <f>IF(OR(COUNTBLANK(BG256)=1,ISERROR(BG256)),"",COUNT(BG4:BG256))</f>
        <v/>
      </c>
      <c r="BE256" s="7" t="e">
        <f t="shared" si="169"/>
        <v>#VALUE!</v>
      </c>
      <c r="BF256" s="1" t="str">
        <f>IF(ISERROR(INDEX(C4:C8,MATCH(J256,D4:D8,0))),"",INDEX(C4:C8,MATCH(J256,D4:D8,0)))</f>
        <v/>
      </c>
      <c r="BG256" s="79" t="e">
        <f>IF(IF(COUNTIF(BG4:BG255,BG251)&gt;=MAX(D4:D8),BG251+5,BG251)&gt;50,"",IF(COUNTIF(BG4:BG255,BG251)&gt;=MAX(D4:D8),BG251+5,BG251))</f>
        <v>#VALUE!</v>
      </c>
      <c r="BH256" s="76" t="e">
        <f>IF(BG256="","",VLOOKUP(BG256,S4:U53,3,0))</f>
        <v>#VALUE!</v>
      </c>
      <c r="BI256" s="8" t="str">
        <f t="shared" si="170"/>
        <v/>
      </c>
      <c r="BP256" s="71" t="e">
        <f t="shared" si="202"/>
        <v>#VALUE!</v>
      </c>
      <c r="BQ256" s="71" t="str">
        <f>IF(OR(COUNTBLANK(BT256)=1,ISERROR(BT256)),"",COUNT(BT4:BT256))</f>
        <v/>
      </c>
      <c r="BR256" s="7" t="e">
        <f t="shared" si="172"/>
        <v>#VALUE!</v>
      </c>
      <c r="BS256" s="1" t="str">
        <f t="shared" si="173"/>
        <v/>
      </c>
      <c r="BT256" s="79" t="e">
        <f>IF(IF(COUNTIF($BT$4:BT255,BT255)&gt;=MAX($D$4:$D$8),BT255+1,BT255)&gt;55,"",IF(COUNTIF($BT$4:BT255,BT255)&gt;=MAX($D$4:$D$8),BT255+1,BT255))</f>
        <v>#VALUE!</v>
      </c>
      <c r="BU256" s="1" t="e">
        <f t="shared" si="174"/>
        <v>#VALUE!</v>
      </c>
      <c r="BV256" s="8" t="str">
        <f t="shared" si="175"/>
        <v/>
      </c>
      <c r="BX256" s="71" t="e">
        <f t="shared" si="176"/>
        <v>#VALUE!</v>
      </c>
      <c r="BY256" s="71" t="str">
        <f>IF(OR(COUNTBLANK(CB256)=1,ISERROR(CB256)),"",COUNT($CB$4:CB256))</f>
        <v/>
      </c>
      <c r="BZ256" s="7" t="e">
        <f t="shared" si="177"/>
        <v>#VALUE!</v>
      </c>
      <c r="CA256" s="1" t="str">
        <f t="shared" si="178"/>
        <v/>
      </c>
      <c r="CB256" s="79" t="e">
        <f>IF(IF(COUNTIF($CB$4:CB255,CB254)&gt;=MAX($D$4:$D$8),CB254+2,CB254)&gt;55,"",IF(COUNTIF($CB$4:CB255,CB254)&gt;=MAX($D$4:$D$8),CB254+2,CB254))</f>
        <v>#VALUE!</v>
      </c>
      <c r="CC256" s="1" t="e">
        <f t="shared" si="179"/>
        <v>#VALUE!</v>
      </c>
      <c r="CD256" s="8" t="str">
        <f t="shared" si="180"/>
        <v/>
      </c>
      <c r="CF256" s="71" t="e">
        <f t="shared" si="193"/>
        <v>#VALUE!</v>
      </c>
      <c r="CG256" s="71" t="str">
        <f>IF(OR(COUNTBLANK(CJ256)=1,ISERROR(CJ256)),"",COUNT($CJ$4:CJ256))</f>
        <v/>
      </c>
      <c r="CH256" s="7" t="e">
        <f t="shared" si="194"/>
        <v>#VALUE!</v>
      </c>
      <c r="CI256" s="1" t="str">
        <f t="shared" si="195"/>
        <v/>
      </c>
      <c r="CJ256" s="79" t="e">
        <f>IF(IF(COUNTIF($CJ$4:CJ255,CJ253)&gt;=MAX($D$4:$D$8),CJ253+3,CJ253)&gt;55,"",IF(COUNTIF($CJ$4:CJ255,CJ253)&gt;=MAX($D$4:$D$8),CJ253+3,CJ253))</f>
        <v>#VALUE!</v>
      </c>
      <c r="CK256" s="1" t="e">
        <f t="shared" si="181"/>
        <v>#VALUE!</v>
      </c>
      <c r="CL256" s="8" t="str">
        <f t="shared" si="196"/>
        <v/>
      </c>
      <c r="CN256" s="71" t="e">
        <f t="shared" si="187"/>
        <v>#VALUE!</v>
      </c>
      <c r="CO256" s="71" t="str">
        <f>IF(OR(COUNTBLANK(CR256)=1,ISERROR(CR256)),"",COUNT($CR$4:CR256))</f>
        <v/>
      </c>
      <c r="CP256" s="7" t="e">
        <f t="shared" si="188"/>
        <v>#VALUE!</v>
      </c>
      <c r="CQ256" s="1" t="str">
        <f t="shared" si="189"/>
        <v/>
      </c>
      <c r="CR256" s="79" t="e">
        <f>IF(IF(COUNTIF($CR$4:CR255,CR252)&gt;=MAX($D$4:$D$8),CR252+4,CR252)&gt;55,"",IF(COUNTIF($CR$4:CR255,CR252)&gt;=MAX($D$4:$D$8),CR252+4,CR252))</f>
        <v>#VALUE!</v>
      </c>
      <c r="CS256" s="1" t="e">
        <f t="shared" si="182"/>
        <v>#VALUE!</v>
      </c>
      <c r="CT256" s="8" t="str">
        <f t="shared" si="190"/>
        <v/>
      </c>
      <c r="CV256" s="71" t="e">
        <f t="shared" si="197"/>
        <v>#VALUE!</v>
      </c>
      <c r="CW256" s="71" t="str">
        <f>IF(OR(COUNTBLANK(CZ256)=1,ISERROR(CZ256)),"",COUNT($CZ$4:CZ256))</f>
        <v/>
      </c>
      <c r="CX256" s="7" t="e">
        <f t="shared" si="198"/>
        <v>#VALUE!</v>
      </c>
      <c r="CY256" s="1" t="str">
        <f t="shared" si="199"/>
        <v/>
      </c>
      <c r="CZ256" s="79" t="e">
        <f>IF(IF(COUNTIF($CZ$4:CZ255,CZ251)&gt;=MAX($D$4:$D$8),CZ251+5,CZ251)&gt;55,"",IF(COUNTIF($CZ$4:CZ255,CZ251)&gt;=MAX($D$4:$D$8),CZ251+5,CZ251))</f>
        <v>#VALUE!</v>
      </c>
      <c r="DA256" s="1" t="e">
        <f t="shared" si="183"/>
        <v>#VALUE!</v>
      </c>
      <c r="DB256" s="8" t="str">
        <f t="shared" si="200"/>
        <v/>
      </c>
    </row>
    <row r="257" spans="5:106" x14ac:dyDescent="0.15">
      <c r="E257" s="1">
        <v>254</v>
      </c>
      <c r="F257" s="1">
        <f t="shared" si="184"/>
        <v>1</v>
      </c>
      <c r="G257" s="1">
        <f t="shared" si="191"/>
        <v>1</v>
      </c>
      <c r="H257" s="1">
        <f t="shared" si="185"/>
        <v>1</v>
      </c>
      <c r="I257" s="1">
        <f t="shared" si="186"/>
        <v>1</v>
      </c>
      <c r="J257" s="1">
        <f t="shared" si="192"/>
        <v>1</v>
      </c>
      <c r="W257" s="71" t="e">
        <f t="shared" si="201"/>
        <v>#VALUE!</v>
      </c>
      <c r="X257" s="71" t="str">
        <f>IF(OR(COUNTBLANK(AA257)=1,ISERROR(AA257)),"",COUNT(AA4:AA257))</f>
        <v/>
      </c>
      <c r="Y257" s="7" t="e">
        <f t="shared" si="157"/>
        <v>#VALUE!</v>
      </c>
      <c r="Z257" s="1" t="str">
        <f t="shared" si="171"/>
        <v/>
      </c>
      <c r="AA257" s="79" t="e">
        <f>IF(IF(COUNTIF(AA4:AA256,AA256)&gt;=MAX(D4:D8),AA256+1,AA256)&gt;50,"",IF(COUNTIF(AA4:AA256,AA256)&gt;=MAX(D4:D8),AA256+1,AA256))</f>
        <v>#VALUE!</v>
      </c>
      <c r="AB257" s="1" t="e">
        <f>IF(AA257="","",VLOOKUP(AA257,S4:U53,3,0))</f>
        <v>#VALUE!</v>
      </c>
      <c r="AC257" s="8" t="str">
        <f t="shared" si="158"/>
        <v/>
      </c>
      <c r="AE257" s="71" t="e">
        <f t="shared" si="159"/>
        <v>#VALUE!</v>
      </c>
      <c r="AF257" s="71" t="str">
        <f>IF(OR(COUNTBLANK(AI257)=1,ISERROR(AI257)),"",COUNT(AI4:AI257))</f>
        <v/>
      </c>
      <c r="AG257" s="7" t="e">
        <f t="shared" si="160"/>
        <v>#VALUE!</v>
      </c>
      <c r="AH257" s="1" t="str">
        <f>IF(ISERROR(INDEX(C4:C8,MATCH(G257,D4:D8,0))),"",INDEX(C4:C8,MATCH(G257,D4:D8,0)))</f>
        <v/>
      </c>
      <c r="AI257" s="79" t="e">
        <f>IF(IF(COUNTIF(AI4:AI255,AI255)&gt;=MAX(D4:D8),AI255+2,AI255)&gt;50,"",IF(COUNTIF(AI4:AI255,AI255)&gt;=MAX(D4:D8),AI255+2,AI255))</f>
        <v>#VALUE!</v>
      </c>
      <c r="AJ257" s="1" t="e">
        <f>IF(AI257="","",VLOOKUP(AI257,S4:U53,3,0))</f>
        <v>#VALUE!</v>
      </c>
      <c r="AK257" s="8" t="str">
        <f t="shared" si="161"/>
        <v/>
      </c>
      <c r="AM257" s="71" t="e">
        <f t="shared" si="162"/>
        <v>#VALUE!</v>
      </c>
      <c r="AN257" s="71" t="str">
        <f>IF(OR(COUNTBLANK(AQ257)=1,ISERROR(AQ257)),"",COUNT(AQ4:AQ257))</f>
        <v/>
      </c>
      <c r="AO257" s="7" t="e">
        <f t="shared" si="163"/>
        <v>#VALUE!</v>
      </c>
      <c r="AP257" s="1" t="str">
        <f>IF(ISERROR(INDEX(C4:C8,MATCH(H257,D4:D8,0))),"",INDEX(C4:C8,MATCH(H257,D4:D8,0)))</f>
        <v/>
      </c>
      <c r="AQ257" s="79" t="e">
        <f>IF(IF(COUNTIF(AQ4:AQ256,AQ254)&gt;=MAX(D4:D8),AQ254+3,AQ254)&gt;50,"",IF(COUNTIF(AQ4:AQ256,AQ254)&gt;=MAX(D4:D8),AQ254+3,AQ254))</f>
        <v>#VALUE!</v>
      </c>
      <c r="AR257" s="1" t="e">
        <f>IF(AQ257="","",VLOOKUP(AQ257,S4:U53,3,0))</f>
        <v>#VALUE!</v>
      </c>
      <c r="AS257" s="8" t="str">
        <f t="shared" si="164"/>
        <v/>
      </c>
      <c r="AU257" s="71" t="e">
        <f t="shared" si="165"/>
        <v>#VALUE!</v>
      </c>
      <c r="AV257" s="71" t="str">
        <f>IF(OR(COUNTBLANK(AY257)=1,ISERROR(AY257)),"",COUNT(AY4:AY257))</f>
        <v/>
      </c>
      <c r="AW257" s="7" t="e">
        <f t="shared" si="166"/>
        <v>#VALUE!</v>
      </c>
      <c r="AX257" s="1" t="str">
        <f>IF(ISERROR(INDEX(C4:C8,MATCH(I257,D4:D8,0))),"",INDEX(C4:C8,MATCH(I257,D4:D8,0)))</f>
        <v/>
      </c>
      <c r="AY257" s="79" t="e">
        <f>IF(IF(COUNTIF(AY4:AY256,AY253)&gt;=MAX(D4:D8),AY253+4,AY253)&gt;50,"",IF(COUNTIF(AY4:AY256,AY253)&gt;=MAX(D4:D8),AY253+4,AY253))</f>
        <v>#VALUE!</v>
      </c>
      <c r="AZ257" s="76" t="e">
        <f>IF(AY257="","",VLOOKUP(AY257,S4:U53,3,0))</f>
        <v>#VALUE!</v>
      </c>
      <c r="BA257" s="8" t="str">
        <f t="shared" si="167"/>
        <v/>
      </c>
      <c r="BC257" s="71" t="e">
        <f t="shared" si="168"/>
        <v>#VALUE!</v>
      </c>
      <c r="BD257" s="71" t="str">
        <f>IF(OR(COUNTBLANK(BG257)=1,ISERROR(BG257)),"",COUNT(BG4:BG257))</f>
        <v/>
      </c>
      <c r="BE257" s="7" t="e">
        <f t="shared" si="169"/>
        <v>#VALUE!</v>
      </c>
      <c r="BF257" s="1" t="str">
        <f>IF(ISERROR(INDEX(C4:C8,MATCH(J257,D4:D8,0))),"",INDEX(C4:C8,MATCH(J257,D4:D8,0)))</f>
        <v/>
      </c>
      <c r="BG257" s="79" t="e">
        <f>IF(IF(COUNTIF(BG4:BG256,BG252)&gt;=MAX(D4:D8),BG252+5,BG252)&gt;50,"",IF(COUNTIF(BG4:BG256,BG252)&gt;=MAX(D4:D8),BG252+5,BG252))</f>
        <v>#VALUE!</v>
      </c>
      <c r="BH257" s="76" t="e">
        <f>IF(BG257="","",VLOOKUP(BG257,S4:U53,3,0))</f>
        <v>#VALUE!</v>
      </c>
      <c r="BI257" s="8" t="str">
        <f t="shared" si="170"/>
        <v/>
      </c>
      <c r="BP257" s="71" t="e">
        <f t="shared" si="202"/>
        <v>#VALUE!</v>
      </c>
      <c r="BQ257" s="71" t="str">
        <f>IF(OR(COUNTBLANK(BT257)=1,ISERROR(BT257)),"",COUNT(BT4:BT257))</f>
        <v/>
      </c>
      <c r="BR257" s="7" t="e">
        <f t="shared" si="172"/>
        <v>#VALUE!</v>
      </c>
      <c r="BS257" s="1" t="str">
        <f t="shared" si="173"/>
        <v/>
      </c>
      <c r="BT257" s="79" t="e">
        <f>IF(IF(COUNTIF($BT$4:BT256,BT256)&gt;=MAX($D$4:$D$8),BT256+1,BT256)&gt;55,"",IF(COUNTIF($BT$4:BT256,BT256)&gt;=MAX($D$4:$D$8),BT256+1,BT256))</f>
        <v>#VALUE!</v>
      </c>
      <c r="BU257" s="1" t="e">
        <f t="shared" si="174"/>
        <v>#VALUE!</v>
      </c>
      <c r="BV257" s="8" t="str">
        <f t="shared" si="175"/>
        <v/>
      </c>
      <c r="BX257" s="71" t="e">
        <f t="shared" si="176"/>
        <v>#VALUE!</v>
      </c>
      <c r="BY257" s="71" t="str">
        <f>IF(OR(COUNTBLANK(CB257)=1,ISERROR(CB257)),"",COUNT($CB$4:CB257))</f>
        <v/>
      </c>
      <c r="BZ257" s="7" t="e">
        <f t="shared" si="177"/>
        <v>#VALUE!</v>
      </c>
      <c r="CA257" s="1" t="str">
        <f t="shared" si="178"/>
        <v/>
      </c>
      <c r="CB257" s="79" t="e">
        <f>IF(IF(COUNTIF($CB$4:CB256,CB255)&gt;=MAX($D$4:$D$8),CB255+2,CB255)&gt;55,"",IF(COUNTIF($CB$4:CB256,CB255)&gt;=MAX($D$4:$D$8),CB255+2,CB255))</f>
        <v>#VALUE!</v>
      </c>
      <c r="CC257" s="1" t="e">
        <f t="shared" si="179"/>
        <v>#VALUE!</v>
      </c>
      <c r="CD257" s="8" t="str">
        <f t="shared" si="180"/>
        <v/>
      </c>
      <c r="CF257" s="71" t="e">
        <f t="shared" si="193"/>
        <v>#VALUE!</v>
      </c>
      <c r="CG257" s="71" t="str">
        <f>IF(OR(COUNTBLANK(CJ257)=1,ISERROR(CJ257)),"",COUNT($CJ$4:CJ257))</f>
        <v/>
      </c>
      <c r="CH257" s="7" t="e">
        <f t="shared" si="194"/>
        <v>#VALUE!</v>
      </c>
      <c r="CI257" s="1" t="str">
        <f t="shared" si="195"/>
        <v/>
      </c>
      <c r="CJ257" s="79" t="e">
        <f>IF(IF(COUNTIF($CJ$4:CJ256,CJ254)&gt;=MAX($D$4:$D$8),CJ254+3,CJ254)&gt;55,"",IF(COUNTIF($CJ$4:CJ256,CJ254)&gt;=MAX($D$4:$D$8),CJ254+3,CJ254))</f>
        <v>#VALUE!</v>
      </c>
      <c r="CK257" s="1" t="e">
        <f t="shared" si="181"/>
        <v>#VALUE!</v>
      </c>
      <c r="CL257" s="8" t="str">
        <f t="shared" si="196"/>
        <v/>
      </c>
      <c r="CN257" s="71" t="e">
        <f t="shared" si="187"/>
        <v>#VALUE!</v>
      </c>
      <c r="CO257" s="71" t="str">
        <f>IF(OR(COUNTBLANK(CR257)=1,ISERROR(CR257)),"",COUNT($CR$4:CR257))</f>
        <v/>
      </c>
      <c r="CP257" s="7" t="e">
        <f t="shared" si="188"/>
        <v>#VALUE!</v>
      </c>
      <c r="CQ257" s="1" t="str">
        <f t="shared" si="189"/>
        <v/>
      </c>
      <c r="CR257" s="79" t="e">
        <f>IF(IF(COUNTIF($CR$4:CR256,CR253)&gt;=MAX($D$4:$D$8),CR253+4,CR253)&gt;55,"",IF(COUNTIF($CR$4:CR256,CR253)&gt;=MAX($D$4:$D$8),CR253+4,CR253))</f>
        <v>#VALUE!</v>
      </c>
      <c r="CS257" s="1" t="e">
        <f t="shared" si="182"/>
        <v>#VALUE!</v>
      </c>
      <c r="CT257" s="8" t="str">
        <f t="shared" si="190"/>
        <v/>
      </c>
      <c r="CV257" s="71" t="e">
        <f t="shared" si="197"/>
        <v>#VALUE!</v>
      </c>
      <c r="CW257" s="71" t="str">
        <f>IF(OR(COUNTBLANK(CZ257)=1,ISERROR(CZ257)),"",COUNT($CZ$4:CZ257))</f>
        <v/>
      </c>
      <c r="CX257" s="7" t="e">
        <f t="shared" si="198"/>
        <v>#VALUE!</v>
      </c>
      <c r="CY257" s="1" t="str">
        <f t="shared" si="199"/>
        <v/>
      </c>
      <c r="CZ257" s="79" t="e">
        <f>IF(IF(COUNTIF($CZ$4:CZ256,CZ252)&gt;=MAX($D$4:$D$8),CZ252+5,CZ252)&gt;55,"",IF(COUNTIF($CZ$4:CZ256,CZ252)&gt;=MAX($D$4:$D$8),CZ252+5,CZ252))</f>
        <v>#VALUE!</v>
      </c>
      <c r="DA257" s="1" t="e">
        <f t="shared" si="183"/>
        <v>#VALUE!</v>
      </c>
      <c r="DB257" s="8" t="str">
        <f t="shared" si="200"/>
        <v/>
      </c>
    </row>
    <row r="258" spans="5:106" x14ac:dyDescent="0.15">
      <c r="E258" s="1">
        <v>255</v>
      </c>
      <c r="F258" s="1">
        <f t="shared" si="184"/>
        <v>1</v>
      </c>
      <c r="G258" s="1">
        <f t="shared" si="191"/>
        <v>1</v>
      </c>
      <c r="H258" s="1">
        <f t="shared" si="185"/>
        <v>1</v>
      </c>
      <c r="I258" s="1">
        <f t="shared" si="186"/>
        <v>1</v>
      </c>
      <c r="J258" s="1">
        <f t="shared" si="192"/>
        <v>1</v>
      </c>
      <c r="W258" s="71" t="e">
        <f t="shared" si="201"/>
        <v>#VALUE!</v>
      </c>
      <c r="X258" s="71" t="str">
        <f>IF(OR(COUNTBLANK(AA258)=1,ISERROR(AA258)),"",COUNT(AA4:AA258))</f>
        <v/>
      </c>
      <c r="Y258" s="7" t="e">
        <f t="shared" si="157"/>
        <v>#VALUE!</v>
      </c>
      <c r="Z258" s="1" t="str">
        <f t="shared" si="171"/>
        <v/>
      </c>
      <c r="AA258" s="79" t="e">
        <f>IF(IF(COUNTIF(AA4:AA257,AA257)&gt;=MAX(D4:D8),AA257+1,AA257)&gt;50,"",IF(COUNTIF(AA4:AA257,AA257)&gt;=MAX(D4:D8),AA257+1,AA257))</f>
        <v>#VALUE!</v>
      </c>
      <c r="AB258" s="1" t="e">
        <f>IF(AA258="","",VLOOKUP(AA258,S4:U53,3,0))</f>
        <v>#VALUE!</v>
      </c>
      <c r="AC258" s="8" t="str">
        <f t="shared" si="158"/>
        <v/>
      </c>
      <c r="AE258" s="71" t="e">
        <f t="shared" si="159"/>
        <v>#VALUE!</v>
      </c>
      <c r="AF258" s="71" t="str">
        <f>IF(OR(COUNTBLANK(AI258)=1,ISERROR(AI258)),"",COUNT(AI4:AI258))</f>
        <v/>
      </c>
      <c r="AG258" s="7" t="e">
        <f t="shared" si="160"/>
        <v>#VALUE!</v>
      </c>
      <c r="AH258" s="1" t="str">
        <f>IF(ISERROR(INDEX(C4:C8,MATCH(G258,D4:D8,0))),"",INDEX(C4:C8,MATCH(G258,D4:D8,0)))</f>
        <v/>
      </c>
      <c r="AI258" s="79" t="e">
        <f>IF(IF(COUNTIF(AI4:AI256,AI256)&gt;=MAX(D4:D8),AI256+2,AI256)&gt;50,"",IF(COUNTIF(AI4:AI256,AI256)&gt;=MAX(D4:D8),AI256+2,AI256))</f>
        <v>#VALUE!</v>
      </c>
      <c r="AJ258" s="1" t="e">
        <f>IF(AI258="","",VLOOKUP(AI258,S4:U53,3,0))</f>
        <v>#VALUE!</v>
      </c>
      <c r="AK258" s="8" t="str">
        <f t="shared" si="161"/>
        <v/>
      </c>
      <c r="AM258" s="71" t="e">
        <f t="shared" si="162"/>
        <v>#VALUE!</v>
      </c>
      <c r="AN258" s="71" t="str">
        <f>IF(OR(COUNTBLANK(AQ258)=1,ISERROR(AQ258)),"",COUNT(AQ4:AQ258))</f>
        <v/>
      </c>
      <c r="AO258" s="7" t="e">
        <f t="shared" si="163"/>
        <v>#VALUE!</v>
      </c>
      <c r="AP258" s="1" t="str">
        <f>IF(ISERROR(INDEX(C4:C8,MATCH(H258,D4:D8,0))),"",INDEX(C4:C8,MATCH(H258,D4:D8,0)))</f>
        <v/>
      </c>
      <c r="AQ258" s="79" t="e">
        <f>IF(IF(COUNTIF(AQ4:AQ257,AQ255)&gt;=MAX(D4:D8),AQ255+3,AQ255)&gt;50,"",IF(COUNTIF(AQ4:AQ257,AQ255)&gt;=MAX(D4:D8),AQ255+3,AQ255))</f>
        <v>#VALUE!</v>
      </c>
      <c r="AR258" s="1" t="e">
        <f>IF(AQ258="","",VLOOKUP(AQ258,S4:U53,3,0))</f>
        <v>#VALUE!</v>
      </c>
      <c r="AS258" s="8" t="str">
        <f t="shared" si="164"/>
        <v/>
      </c>
      <c r="AU258" s="71" t="e">
        <f t="shared" si="165"/>
        <v>#VALUE!</v>
      </c>
      <c r="AV258" s="71" t="str">
        <f>IF(OR(COUNTBLANK(AY258)=1,ISERROR(AY258)),"",COUNT(AY4:AY258))</f>
        <v/>
      </c>
      <c r="AW258" s="7" t="e">
        <f t="shared" si="166"/>
        <v>#VALUE!</v>
      </c>
      <c r="AX258" s="1" t="str">
        <f>IF(ISERROR(INDEX(C4:C8,MATCH(I258,D4:D8,0))),"",INDEX(C4:C8,MATCH(I258,D4:D8,0)))</f>
        <v/>
      </c>
      <c r="AY258" s="79" t="e">
        <f>IF(IF(COUNTIF(AY4:AY257,AY254)&gt;=MAX(D4:D8),AY254+4,AY254)&gt;50,"",IF(COUNTIF(AY4:AY257,AY254)&gt;=MAX(D4:D8),AY254+4,AY254))</f>
        <v>#VALUE!</v>
      </c>
      <c r="AZ258" s="76" t="e">
        <f>IF(AY258="","",VLOOKUP(AY258,S4:U53,3,0))</f>
        <v>#VALUE!</v>
      </c>
      <c r="BA258" s="8" t="str">
        <f t="shared" si="167"/>
        <v/>
      </c>
      <c r="BC258" s="71" t="e">
        <f t="shared" si="168"/>
        <v>#VALUE!</v>
      </c>
      <c r="BD258" s="71" t="str">
        <f>IF(OR(COUNTBLANK(BG258)=1,ISERROR(BG258)),"",COUNT(BG4:BG258))</f>
        <v/>
      </c>
      <c r="BE258" s="7" t="e">
        <f t="shared" si="169"/>
        <v>#VALUE!</v>
      </c>
      <c r="BF258" s="1" t="str">
        <f>IF(ISERROR(INDEX(C4:C8,MATCH(J258,D4:D8,0))),"",INDEX(C4:C8,MATCH(J258,D4:D8,0)))</f>
        <v/>
      </c>
      <c r="BG258" s="79" t="e">
        <f>IF(IF(COUNTIF(BG4:BG257,BG253)&gt;=MAX(D4:D8),BG253+5,BG253)&gt;50,"",IF(COUNTIF(BG4:BG257,BG253)&gt;=MAX(D4:D8),BG253+5,BG253))</f>
        <v>#VALUE!</v>
      </c>
      <c r="BH258" s="76" t="e">
        <f>IF(BG258="","",VLOOKUP(BG258,S4:U53,3,0))</f>
        <v>#VALUE!</v>
      </c>
      <c r="BI258" s="8" t="str">
        <f t="shared" si="170"/>
        <v/>
      </c>
      <c r="BP258" s="71" t="e">
        <f t="shared" si="202"/>
        <v>#VALUE!</v>
      </c>
      <c r="BQ258" s="71" t="str">
        <f>IF(OR(COUNTBLANK(BT258)=1,ISERROR(BT258)),"",COUNT(BT4:BT258))</f>
        <v/>
      </c>
      <c r="BR258" s="7" t="e">
        <f t="shared" si="172"/>
        <v>#VALUE!</v>
      </c>
      <c r="BS258" s="1" t="str">
        <f t="shared" si="173"/>
        <v/>
      </c>
      <c r="BT258" s="79" t="e">
        <f>IF(IF(COUNTIF($BT$4:BT257,BT257)&gt;=MAX($D$4:$D$8),BT257+1,BT257)&gt;55,"",IF(COUNTIF($BT$4:BT257,BT257)&gt;=MAX($D$4:$D$8),BT257+1,BT257))</f>
        <v>#VALUE!</v>
      </c>
      <c r="BU258" s="1" t="e">
        <f t="shared" si="174"/>
        <v>#VALUE!</v>
      </c>
      <c r="BV258" s="8" t="str">
        <f t="shared" si="175"/>
        <v/>
      </c>
      <c r="BX258" s="71" t="e">
        <f t="shared" si="176"/>
        <v>#VALUE!</v>
      </c>
      <c r="BY258" s="71" t="str">
        <f>IF(OR(COUNTBLANK(CB258)=1,ISERROR(CB258)),"",COUNT($CB$4:CB258))</f>
        <v/>
      </c>
      <c r="BZ258" s="7" t="e">
        <f t="shared" si="177"/>
        <v>#VALUE!</v>
      </c>
      <c r="CA258" s="1" t="str">
        <f t="shared" si="178"/>
        <v/>
      </c>
      <c r="CB258" s="79" t="e">
        <f>IF(IF(COUNTIF($CB$4:CB257,CB256)&gt;=MAX($D$4:$D$8),CB256+2,CB256)&gt;55,"",IF(COUNTIF($CB$4:CB257,CB256)&gt;=MAX($D$4:$D$8),CB256+2,CB256))</f>
        <v>#VALUE!</v>
      </c>
      <c r="CC258" s="1" t="e">
        <f t="shared" si="179"/>
        <v>#VALUE!</v>
      </c>
      <c r="CD258" s="8" t="str">
        <f t="shared" si="180"/>
        <v/>
      </c>
      <c r="CF258" s="71" t="e">
        <f t="shared" si="193"/>
        <v>#VALUE!</v>
      </c>
      <c r="CG258" s="71" t="str">
        <f>IF(OR(COUNTBLANK(CJ258)=1,ISERROR(CJ258)),"",COUNT($CJ$4:CJ258))</f>
        <v/>
      </c>
      <c r="CH258" s="7" t="e">
        <f t="shared" si="194"/>
        <v>#VALUE!</v>
      </c>
      <c r="CI258" s="1" t="str">
        <f t="shared" si="195"/>
        <v/>
      </c>
      <c r="CJ258" s="79" t="e">
        <f>IF(IF(COUNTIF($CJ$4:CJ257,CJ255)&gt;=MAX($D$4:$D$8),CJ255+3,CJ255)&gt;55,"",IF(COUNTIF($CJ$4:CJ257,CJ255)&gt;=MAX($D$4:$D$8),CJ255+3,CJ255))</f>
        <v>#VALUE!</v>
      </c>
      <c r="CK258" s="1" t="e">
        <f t="shared" si="181"/>
        <v>#VALUE!</v>
      </c>
      <c r="CL258" s="8" t="str">
        <f t="shared" si="196"/>
        <v/>
      </c>
      <c r="CN258" s="71" t="e">
        <f t="shared" si="187"/>
        <v>#VALUE!</v>
      </c>
      <c r="CO258" s="71" t="str">
        <f>IF(OR(COUNTBLANK(CR258)=1,ISERROR(CR258)),"",COUNT($CR$4:CR258))</f>
        <v/>
      </c>
      <c r="CP258" s="7" t="e">
        <f t="shared" si="188"/>
        <v>#VALUE!</v>
      </c>
      <c r="CQ258" s="1" t="str">
        <f t="shared" si="189"/>
        <v/>
      </c>
      <c r="CR258" s="79" t="e">
        <f>IF(IF(COUNTIF($CR$4:CR257,CR254)&gt;=MAX($D$4:$D$8),CR254+4,CR254)&gt;55,"",IF(COUNTIF($CR$4:CR257,CR254)&gt;=MAX($D$4:$D$8),CR254+4,CR254))</f>
        <v>#VALUE!</v>
      </c>
      <c r="CS258" s="1" t="e">
        <f t="shared" si="182"/>
        <v>#VALUE!</v>
      </c>
      <c r="CT258" s="8" t="str">
        <f t="shared" si="190"/>
        <v/>
      </c>
      <c r="CV258" s="71" t="e">
        <f t="shared" si="197"/>
        <v>#VALUE!</v>
      </c>
      <c r="CW258" s="71" t="str">
        <f>IF(OR(COUNTBLANK(CZ258)=1,ISERROR(CZ258)),"",COUNT($CZ$4:CZ258))</f>
        <v/>
      </c>
      <c r="CX258" s="7" t="e">
        <f t="shared" si="198"/>
        <v>#VALUE!</v>
      </c>
      <c r="CY258" s="1" t="str">
        <f t="shared" si="199"/>
        <v/>
      </c>
      <c r="CZ258" s="79" t="e">
        <f>IF(IF(COUNTIF($CZ$4:CZ257,CZ253)&gt;=MAX($D$4:$D$8),CZ253+5,CZ253)&gt;55,"",IF(COUNTIF($CZ$4:CZ257,CZ253)&gt;=MAX($D$4:$D$8),CZ253+5,CZ253))</f>
        <v>#VALUE!</v>
      </c>
      <c r="DA258" s="1" t="e">
        <f t="shared" si="183"/>
        <v>#VALUE!</v>
      </c>
      <c r="DB258" s="8" t="str">
        <f t="shared" si="200"/>
        <v/>
      </c>
    </row>
    <row r="259" spans="5:106" x14ac:dyDescent="0.15">
      <c r="E259" s="1">
        <v>256</v>
      </c>
      <c r="F259" s="1">
        <f t="shared" si="184"/>
        <v>1</v>
      </c>
      <c r="G259" s="1">
        <f t="shared" si="191"/>
        <v>1</v>
      </c>
      <c r="H259" s="1">
        <f t="shared" si="185"/>
        <v>1</v>
      </c>
      <c r="I259" s="1">
        <f t="shared" si="186"/>
        <v>1</v>
      </c>
      <c r="J259" s="1">
        <f t="shared" si="192"/>
        <v>1</v>
      </c>
      <c r="W259" s="71" t="e">
        <f t="shared" si="201"/>
        <v>#VALUE!</v>
      </c>
      <c r="X259" s="71" t="str">
        <f>IF(OR(COUNTBLANK(AA259)=1,ISERROR(AA259)),"",COUNT(AA4:AA259))</f>
        <v/>
      </c>
      <c r="Y259" s="7" t="e">
        <f t="shared" si="157"/>
        <v>#VALUE!</v>
      </c>
      <c r="Z259" s="1" t="str">
        <f t="shared" si="171"/>
        <v/>
      </c>
      <c r="AA259" s="79" t="e">
        <f>IF(IF(COUNTIF(AA4:AA258,AA258)&gt;=MAX(D4:D8),AA258+1,AA258)&gt;50,"",IF(COUNTIF(AA4:AA258,AA258)&gt;=MAX(D4:D8),AA258+1,AA258))</f>
        <v>#VALUE!</v>
      </c>
      <c r="AB259" s="1" t="e">
        <f>IF(AA259="","",VLOOKUP(AA259,S4:U53,3,0))</f>
        <v>#VALUE!</v>
      </c>
      <c r="AC259" s="8" t="str">
        <f t="shared" si="158"/>
        <v/>
      </c>
      <c r="AE259" s="71" t="e">
        <f t="shared" si="159"/>
        <v>#VALUE!</v>
      </c>
      <c r="AF259" s="71" t="str">
        <f>IF(OR(COUNTBLANK(AI259)=1,ISERROR(AI259)),"",COUNT(AI4:AI259))</f>
        <v/>
      </c>
      <c r="AG259" s="7" t="e">
        <f t="shared" si="160"/>
        <v>#VALUE!</v>
      </c>
      <c r="AH259" s="1" t="str">
        <f>IF(ISERROR(INDEX(C4:C8,MATCH(G259,D4:D8,0))),"",INDEX(C4:C8,MATCH(G259,D4:D8,0)))</f>
        <v/>
      </c>
      <c r="AI259" s="79" t="e">
        <f>IF(IF(COUNTIF(AI4:AI257,AI257)&gt;=MAX(D4:D8),AI257+2,AI257)&gt;50,"",IF(COUNTIF(AI4:AI257,AI257)&gt;=MAX(D4:D8),AI257+2,AI257))</f>
        <v>#VALUE!</v>
      </c>
      <c r="AJ259" s="1" t="e">
        <f>IF(AI259="","",VLOOKUP(AI259,S4:U53,3,0))</f>
        <v>#VALUE!</v>
      </c>
      <c r="AK259" s="8" t="str">
        <f t="shared" si="161"/>
        <v/>
      </c>
      <c r="AM259" s="71" t="e">
        <f t="shared" si="162"/>
        <v>#VALUE!</v>
      </c>
      <c r="AN259" s="71" t="str">
        <f>IF(OR(COUNTBLANK(AQ259)=1,ISERROR(AQ259)),"",COUNT(AQ4:AQ259))</f>
        <v/>
      </c>
      <c r="AO259" s="7" t="e">
        <f t="shared" si="163"/>
        <v>#VALUE!</v>
      </c>
      <c r="AP259" s="1" t="str">
        <f>IF(ISERROR(INDEX(C4:C8,MATCH(H259,D4:D8,0))),"",INDEX(C4:C8,MATCH(H259,D4:D8,0)))</f>
        <v/>
      </c>
      <c r="AQ259" s="79" t="e">
        <f>IF(IF(COUNTIF(AQ4:AQ258,AQ256)&gt;=MAX(D4:D8),AQ256+3,AQ256)&gt;50,"",IF(COUNTIF(AQ4:AQ258,AQ256)&gt;=MAX(D4:D8),AQ256+3,AQ256))</f>
        <v>#VALUE!</v>
      </c>
      <c r="AR259" s="1" t="e">
        <f>IF(AQ259="","",VLOOKUP(AQ259,S4:U53,3,0))</f>
        <v>#VALUE!</v>
      </c>
      <c r="AS259" s="8" t="str">
        <f t="shared" si="164"/>
        <v/>
      </c>
      <c r="AU259" s="71" t="e">
        <f t="shared" si="165"/>
        <v>#VALUE!</v>
      </c>
      <c r="AV259" s="71" t="str">
        <f>IF(OR(COUNTBLANK(AY259)=1,ISERROR(AY259)),"",COUNT(AY4:AY259))</f>
        <v/>
      </c>
      <c r="AW259" s="7" t="e">
        <f t="shared" si="166"/>
        <v>#VALUE!</v>
      </c>
      <c r="AX259" s="1" t="str">
        <f>IF(ISERROR(INDEX(C4:C8,MATCH(I259,D4:D8,0))),"",INDEX(C4:C8,MATCH(I259,D4:D8,0)))</f>
        <v/>
      </c>
      <c r="AY259" s="79" t="e">
        <f>IF(IF(COUNTIF(AY4:AY258,AY255)&gt;=MAX(D4:D8),AY255+4,AY255)&gt;50,"",IF(COUNTIF(AY4:AY258,AY255)&gt;=MAX(D4:D8),AY255+4,AY255))</f>
        <v>#VALUE!</v>
      </c>
      <c r="AZ259" s="76" t="e">
        <f>IF(AY259="","",VLOOKUP(AY259,S4:U53,3,0))</f>
        <v>#VALUE!</v>
      </c>
      <c r="BA259" s="8" t="str">
        <f t="shared" si="167"/>
        <v/>
      </c>
      <c r="BC259" s="71" t="e">
        <f t="shared" si="168"/>
        <v>#VALUE!</v>
      </c>
      <c r="BD259" s="71" t="str">
        <f>IF(OR(COUNTBLANK(BG259)=1,ISERROR(BG259)),"",COUNT(BG4:BG259))</f>
        <v/>
      </c>
      <c r="BE259" s="7" t="e">
        <f t="shared" si="169"/>
        <v>#VALUE!</v>
      </c>
      <c r="BF259" s="1" t="str">
        <f>IF(ISERROR(INDEX(C4:C8,MATCH(J259,D4:D8,0))),"",INDEX(C4:C8,MATCH(J259,D4:D8,0)))</f>
        <v/>
      </c>
      <c r="BG259" s="79" t="e">
        <f>IF(IF(COUNTIF(BG4:BG258,BG254)&gt;=MAX(D4:D8),BG254+5,BG254)&gt;50,"",IF(COUNTIF(BG4:BG258,BG254)&gt;=MAX(D4:D8),BG254+5,BG254))</f>
        <v>#VALUE!</v>
      </c>
      <c r="BH259" s="76" t="e">
        <f>IF(BG259="","",VLOOKUP(BG259,S4:U53,3,0))</f>
        <v>#VALUE!</v>
      </c>
      <c r="BI259" s="8" t="str">
        <f t="shared" si="170"/>
        <v/>
      </c>
      <c r="BP259" s="71" t="e">
        <f t="shared" si="202"/>
        <v>#VALUE!</v>
      </c>
      <c r="BQ259" s="71" t="str">
        <f>IF(OR(COUNTBLANK(BT259)=1,ISERROR(BT259)),"",COUNT(BT4:BT259))</f>
        <v/>
      </c>
      <c r="BR259" s="7" t="e">
        <f t="shared" si="172"/>
        <v>#VALUE!</v>
      </c>
      <c r="BS259" s="1" t="str">
        <f t="shared" si="173"/>
        <v/>
      </c>
      <c r="BT259" s="79" t="e">
        <f>IF(IF(COUNTIF($BT$4:BT258,BT258)&gt;=MAX($D$4:$D$8),BT258+1,BT258)&gt;55,"",IF(COUNTIF($BT$4:BT258,BT258)&gt;=MAX($D$4:$D$8),BT258+1,BT258))</f>
        <v>#VALUE!</v>
      </c>
      <c r="BU259" s="1" t="e">
        <f t="shared" si="174"/>
        <v>#VALUE!</v>
      </c>
      <c r="BV259" s="8" t="str">
        <f t="shared" si="175"/>
        <v/>
      </c>
      <c r="BX259" s="71" t="e">
        <f t="shared" si="176"/>
        <v>#VALUE!</v>
      </c>
      <c r="BY259" s="71" t="str">
        <f>IF(OR(COUNTBLANK(CB259)=1,ISERROR(CB259)),"",COUNT($CB$4:CB259))</f>
        <v/>
      </c>
      <c r="BZ259" s="7" t="e">
        <f t="shared" si="177"/>
        <v>#VALUE!</v>
      </c>
      <c r="CA259" s="1" t="str">
        <f t="shared" si="178"/>
        <v/>
      </c>
      <c r="CB259" s="79" t="e">
        <f>IF(IF(COUNTIF($CB$4:CB258,CB257)&gt;=MAX($D$4:$D$8),CB257+2,CB257)&gt;55,"",IF(COUNTIF($CB$4:CB258,CB257)&gt;=MAX($D$4:$D$8),CB257+2,CB257))</f>
        <v>#VALUE!</v>
      </c>
      <c r="CC259" s="1" t="e">
        <f t="shared" si="179"/>
        <v>#VALUE!</v>
      </c>
      <c r="CD259" s="8" t="str">
        <f t="shared" si="180"/>
        <v/>
      </c>
      <c r="CF259" s="71" t="e">
        <f t="shared" si="193"/>
        <v>#VALUE!</v>
      </c>
      <c r="CG259" s="71" t="str">
        <f>IF(OR(COUNTBLANK(CJ259)=1,ISERROR(CJ259)),"",COUNT($CJ$4:CJ259))</f>
        <v/>
      </c>
      <c r="CH259" s="7" t="e">
        <f t="shared" si="194"/>
        <v>#VALUE!</v>
      </c>
      <c r="CI259" s="1" t="str">
        <f t="shared" si="195"/>
        <v/>
      </c>
      <c r="CJ259" s="79" t="e">
        <f>IF(IF(COUNTIF($CJ$4:CJ258,CJ256)&gt;=MAX($D$4:$D$8),CJ256+3,CJ256)&gt;55,"",IF(COUNTIF($CJ$4:CJ258,CJ256)&gt;=MAX($D$4:$D$8),CJ256+3,CJ256))</f>
        <v>#VALUE!</v>
      </c>
      <c r="CK259" s="1" t="e">
        <f t="shared" si="181"/>
        <v>#VALUE!</v>
      </c>
      <c r="CL259" s="8" t="str">
        <f t="shared" si="196"/>
        <v/>
      </c>
      <c r="CN259" s="71" t="e">
        <f t="shared" si="187"/>
        <v>#VALUE!</v>
      </c>
      <c r="CO259" s="71" t="str">
        <f>IF(OR(COUNTBLANK(CR259)=1,ISERROR(CR259)),"",COUNT($CR$4:CR259))</f>
        <v/>
      </c>
      <c r="CP259" s="7" t="e">
        <f t="shared" si="188"/>
        <v>#VALUE!</v>
      </c>
      <c r="CQ259" s="1" t="str">
        <f t="shared" si="189"/>
        <v/>
      </c>
      <c r="CR259" s="79" t="e">
        <f>IF(IF(COUNTIF($CR$4:CR258,CR255)&gt;=MAX($D$4:$D$8),CR255+4,CR255)&gt;55,"",IF(COUNTIF($CR$4:CR258,CR255)&gt;=MAX($D$4:$D$8),CR255+4,CR255))</f>
        <v>#VALUE!</v>
      </c>
      <c r="CS259" s="1" t="e">
        <f t="shared" si="182"/>
        <v>#VALUE!</v>
      </c>
      <c r="CT259" s="8" t="str">
        <f t="shared" si="190"/>
        <v/>
      </c>
      <c r="CV259" s="71" t="e">
        <f t="shared" si="197"/>
        <v>#VALUE!</v>
      </c>
      <c r="CW259" s="71" t="str">
        <f>IF(OR(COUNTBLANK(CZ259)=1,ISERROR(CZ259)),"",COUNT($CZ$4:CZ259))</f>
        <v/>
      </c>
      <c r="CX259" s="7" t="e">
        <f t="shared" si="198"/>
        <v>#VALUE!</v>
      </c>
      <c r="CY259" s="1" t="str">
        <f t="shared" si="199"/>
        <v/>
      </c>
      <c r="CZ259" s="79" t="e">
        <f>IF(IF(COUNTIF($CZ$4:CZ258,CZ254)&gt;=MAX($D$4:$D$8),CZ254+5,CZ254)&gt;55,"",IF(COUNTIF($CZ$4:CZ258,CZ254)&gt;=MAX($D$4:$D$8),CZ254+5,CZ254))</f>
        <v>#VALUE!</v>
      </c>
      <c r="DA259" s="1" t="e">
        <f t="shared" si="183"/>
        <v>#VALUE!</v>
      </c>
      <c r="DB259" s="8" t="str">
        <f t="shared" si="200"/>
        <v/>
      </c>
    </row>
    <row r="260" spans="5:106" x14ac:dyDescent="0.15">
      <c r="E260" s="1">
        <v>257</v>
      </c>
      <c r="F260" s="1">
        <f t="shared" si="184"/>
        <v>1</v>
      </c>
      <c r="G260" s="1">
        <f t="shared" si="191"/>
        <v>1</v>
      </c>
      <c r="H260" s="1">
        <f t="shared" si="185"/>
        <v>1</v>
      </c>
      <c r="I260" s="1">
        <f t="shared" si="186"/>
        <v>1</v>
      </c>
      <c r="J260" s="1">
        <f t="shared" si="192"/>
        <v>1</v>
      </c>
      <c r="W260" s="71" t="e">
        <f t="shared" si="201"/>
        <v>#VALUE!</v>
      </c>
      <c r="X260" s="71" t="str">
        <f>IF(OR(COUNTBLANK(AA260)=1,ISERROR(AA260)),"",COUNT(AA4:AA260))</f>
        <v/>
      </c>
      <c r="Y260" s="7" t="e">
        <f t="shared" ref="Y260:Y278" si="203">IF(AA260&gt;20,"ナビ・","1・2年のナビ・")</f>
        <v>#VALUE!</v>
      </c>
      <c r="Z260" s="1" t="str">
        <f t="shared" si="171"/>
        <v/>
      </c>
      <c r="AA260" s="79" t="e">
        <f>IF(IF(COUNTIF(AA4:AA259,AA259)&gt;=MAX(D4:D8),AA259+1,AA259)&gt;50,"",IF(COUNTIF(AA4:AA259,AA259)&gt;=MAX(D4:D8),AA259+1,AA259))</f>
        <v>#VALUE!</v>
      </c>
      <c r="AB260" s="1" t="e">
        <f>IF(AA260="","",VLOOKUP(AA260,S4:U53,3,0))</f>
        <v>#VALUE!</v>
      </c>
      <c r="AC260" s="8" t="str">
        <f t="shared" ref="AC260:AC278" si="204">IF(ISERROR(IF(COUNTIF(Z260:AB260,"")&gt;=1,"",Y260&amp;Z260&amp;"【"&amp;IF(AA260&gt;20,AA260-20,AA260)&amp;"】"&amp;AB260)),"",IF(COUNTIF(Z260:AB260,"")&gt;=1,"",Y260&amp;Z260&amp;"【"&amp;IF(AA260&gt;20,AA260-20,AA260)&amp;"】"&amp;AB260))</f>
        <v/>
      </c>
      <c r="AE260" s="71" t="e">
        <f t="shared" ref="AE260:AE278" si="205">IF(AI260="","",AI260*10+G260)</f>
        <v>#VALUE!</v>
      </c>
      <c r="AF260" s="71" t="str">
        <f>IF(OR(COUNTBLANK(AI260)=1,ISERROR(AI260)),"",COUNT(AI4:AI260))</f>
        <v/>
      </c>
      <c r="AG260" s="7" t="e">
        <f t="shared" ref="AG260:AG278" si="206">IF(AI260&gt;20,"ナビ・","1・2年のナビ・")</f>
        <v>#VALUE!</v>
      </c>
      <c r="AH260" s="1" t="str">
        <f>IF(ISERROR(INDEX(C4:C8,MATCH(G260,D4:D8,0))),"",INDEX(C4:C8,MATCH(G260,D4:D8,0)))</f>
        <v/>
      </c>
      <c r="AI260" s="79" t="e">
        <f>IF(IF(COUNTIF(AI4:AI258,AI258)&gt;=MAX(D4:D8),AI258+2,AI258)&gt;50,"",IF(COUNTIF(AI4:AI258,AI258)&gt;=MAX(D4:D8),AI258+2,AI258))</f>
        <v>#VALUE!</v>
      </c>
      <c r="AJ260" s="1" t="e">
        <f>IF(AI260="","",VLOOKUP(AI260,S4:U53,3,0))</f>
        <v>#VALUE!</v>
      </c>
      <c r="AK260" s="8" t="str">
        <f t="shared" ref="AK260:AK278" si="207">IF(ISERROR(IF(COUNTIF(AH260:AJ260,"")&gt;=1,"",AG260&amp;AH260&amp;"【"&amp;IF(AI260&gt;20,AI260-20,AI260)&amp;"】"&amp;AJ260)),"",IF(COUNTIF(AH260:AJ260,"")&gt;=1,"",AG260&amp;AH260&amp;"【"&amp;IF(AI260&gt;20,AI260-20,AI260)&amp;"】"&amp;AJ260))</f>
        <v/>
      </c>
      <c r="AM260" s="71" t="e">
        <f t="shared" ref="AM260:AM278" si="208">IF(AQ260="","",AQ260*10+H260)</f>
        <v>#VALUE!</v>
      </c>
      <c r="AN260" s="71" t="str">
        <f>IF(OR(COUNTBLANK(AQ260)=1,ISERROR(AQ260)),"",COUNT(AQ4:AQ260))</f>
        <v/>
      </c>
      <c r="AO260" s="7" t="e">
        <f t="shared" ref="AO260:AO278" si="209">IF(AQ260&gt;20,"ナビ・","1・2年のナビ・")</f>
        <v>#VALUE!</v>
      </c>
      <c r="AP260" s="1" t="str">
        <f>IF(ISERROR(INDEX(C4:C8,MATCH(H260,D4:D8,0))),"",INDEX(C4:C8,MATCH(H260,D4:D8,0)))</f>
        <v/>
      </c>
      <c r="AQ260" s="79" t="e">
        <f>IF(IF(COUNTIF(AQ4:AQ259,AQ257)&gt;=MAX(D4:D8),AQ257+3,AQ257)&gt;50,"",IF(COUNTIF(AQ4:AQ259,AQ257)&gt;=MAX(D4:D8),AQ257+3,AQ257))</f>
        <v>#VALUE!</v>
      </c>
      <c r="AR260" s="1" t="e">
        <f>IF(AQ260="","",VLOOKUP(AQ260,S4:U53,3,0))</f>
        <v>#VALUE!</v>
      </c>
      <c r="AS260" s="8" t="str">
        <f t="shared" ref="AS260:AS278" si="210">IF(ISERROR(IF(COUNTIF(AP260:AR260,"")&gt;=1,"",AO260&amp;AP260&amp;"【"&amp;IF(AQ260&gt;20,AQ260-20,AQ260)&amp;"】"&amp;AR260)),"",IF(COUNTIF(AP260:AR260,"")&gt;=1,"",AO260&amp;AP260&amp;"【"&amp;IF(AQ260&gt;20,AQ260-20,AQ260)&amp;"】"&amp;AR260))</f>
        <v/>
      </c>
      <c r="AU260" s="71" t="e">
        <f t="shared" ref="AU260:AU278" si="211">IF(AY260="","",AY260*10+I260)</f>
        <v>#VALUE!</v>
      </c>
      <c r="AV260" s="71" t="str">
        <f>IF(OR(COUNTBLANK(AY260)=1,ISERROR(AY260)),"",COUNT(AY4:AY260))</f>
        <v/>
      </c>
      <c r="AW260" s="7" t="e">
        <f t="shared" ref="AW260:AW278" si="212">IF(AY260&gt;20,"ナビ・","1・2年のナビ・")</f>
        <v>#VALUE!</v>
      </c>
      <c r="AX260" s="1" t="str">
        <f>IF(ISERROR(INDEX(C4:C8,MATCH(I260,D4:D8,0))),"",INDEX(C4:C8,MATCH(I260,D4:D8,0)))</f>
        <v/>
      </c>
      <c r="AY260" s="79" t="e">
        <f>IF(IF(COUNTIF(AY4:AY259,AY256)&gt;=MAX(D4:D8),AY256+4,AY256)&gt;50,"",IF(COUNTIF(AY4:AY259,AY256)&gt;=MAX(D4:D8),AY256+4,AY256))</f>
        <v>#VALUE!</v>
      </c>
      <c r="AZ260" s="76" t="e">
        <f>IF(AY260="","",VLOOKUP(AY260,S4:U53,3,0))</f>
        <v>#VALUE!</v>
      </c>
      <c r="BA260" s="8" t="str">
        <f t="shared" ref="BA260:BA278" si="213">IF(ISERROR(IF(COUNTIF(AX260:AZ260,"")&gt;=1,"",AW260&amp;AX260&amp;"【"&amp;IF(AY260&gt;20,AY260-20,AY260)&amp;"】"&amp;AZ260)),"",IF(COUNTIF(AX260:AZ260,"")&gt;=1,"",AW260&amp;AX260&amp;"【"&amp;IF(AY260&gt;20,AY260-20,AY260)&amp;"】"&amp;AZ260))</f>
        <v/>
      </c>
      <c r="BC260" s="71" t="e">
        <f t="shared" ref="BC260:BC278" si="214">IF(BG260="","",BG260*10+J260)</f>
        <v>#VALUE!</v>
      </c>
      <c r="BD260" s="71" t="str">
        <f>IF(OR(COUNTBLANK(BG260)=1,ISERROR(BG260)),"",COUNT(BG4:BG260))</f>
        <v/>
      </c>
      <c r="BE260" s="7" t="e">
        <f t="shared" ref="BE260:BE278" si="215">IF(BG260&gt;20,"ナビ・","1・2年のナビ・")</f>
        <v>#VALUE!</v>
      </c>
      <c r="BF260" s="1" t="str">
        <f>IF(ISERROR(INDEX(C4:C8,MATCH(J260,D4:D8,0))),"",INDEX(C4:C8,MATCH(J260,D4:D8,0)))</f>
        <v/>
      </c>
      <c r="BG260" s="79" t="e">
        <f>IF(IF(COUNTIF(BG4:BG259,BG255)&gt;=MAX(D4:D8),BG255+5,BG255)&gt;50,"",IF(COUNTIF(BG4:BG259,BG255)&gt;=MAX(D4:D8),BG255+5,BG255))</f>
        <v>#VALUE!</v>
      </c>
      <c r="BH260" s="76" t="e">
        <f>IF(BG260="","",VLOOKUP(BG260,S4:U53,3,0))</f>
        <v>#VALUE!</v>
      </c>
      <c r="BI260" s="8" t="str">
        <f t="shared" ref="BI260:BI278" si="216">IF(ISERROR(IF(COUNTIF(BF260:BH260,"")&gt;=1,"",BE260&amp;BF260&amp;"【"&amp;IF(BG260&gt;20,BG260-20,BG260)&amp;"】"&amp;BH260)),"",IF(COUNTIF(BF260:BH260,"")&gt;=1,"",BE260&amp;BF260&amp;"【"&amp;IF(BG260&gt;20,BG260-20,BG260)&amp;"】"&amp;BH260))</f>
        <v/>
      </c>
      <c r="BP260" s="71" t="e">
        <f t="shared" si="202"/>
        <v>#VALUE!</v>
      </c>
      <c r="BQ260" s="71" t="str">
        <f>IF(OR(COUNTBLANK(BT260)=1,ISERROR(BT260)),"",COUNT(BT4:BT260))</f>
        <v/>
      </c>
      <c r="BR260" s="7" t="e">
        <f t="shared" si="172"/>
        <v>#VALUE!</v>
      </c>
      <c r="BS260" s="1" t="str">
        <f t="shared" si="173"/>
        <v/>
      </c>
      <c r="BT260" s="79" t="e">
        <f>IF(IF(COUNTIF($BT$4:BT259,BT259)&gt;=MAX($D$4:$D$8),BT259+1,BT259)&gt;55,"",IF(COUNTIF($BT$4:BT259,BT259)&gt;=MAX($D$4:$D$8),BT259+1,BT259))</f>
        <v>#VALUE!</v>
      </c>
      <c r="BU260" s="1" t="e">
        <f t="shared" si="174"/>
        <v>#VALUE!</v>
      </c>
      <c r="BV260" s="8" t="str">
        <f t="shared" si="175"/>
        <v/>
      </c>
      <c r="BX260" s="71" t="e">
        <f t="shared" si="176"/>
        <v>#VALUE!</v>
      </c>
      <c r="BY260" s="71" t="str">
        <f>IF(OR(COUNTBLANK(CB260)=1,ISERROR(CB260)),"",COUNT($CB$4:CB260))</f>
        <v/>
      </c>
      <c r="BZ260" s="7" t="e">
        <f t="shared" si="177"/>
        <v>#VALUE!</v>
      </c>
      <c r="CA260" s="1" t="str">
        <f t="shared" si="178"/>
        <v/>
      </c>
      <c r="CB260" s="79" t="e">
        <f>IF(IF(COUNTIF($CB$4:CB259,CB258)&gt;=MAX($D$4:$D$8),CB258+2,CB258)&gt;55,"",IF(COUNTIF($CB$4:CB259,CB258)&gt;=MAX($D$4:$D$8),CB258+2,CB258))</f>
        <v>#VALUE!</v>
      </c>
      <c r="CC260" s="1" t="e">
        <f t="shared" si="179"/>
        <v>#VALUE!</v>
      </c>
      <c r="CD260" s="8" t="str">
        <f t="shared" si="180"/>
        <v/>
      </c>
      <c r="CF260" s="71" t="e">
        <f t="shared" si="193"/>
        <v>#VALUE!</v>
      </c>
      <c r="CG260" s="71" t="str">
        <f>IF(OR(COUNTBLANK(CJ260)=1,ISERROR(CJ260)),"",COUNT($CJ$4:CJ260))</f>
        <v/>
      </c>
      <c r="CH260" s="7" t="e">
        <f t="shared" si="194"/>
        <v>#VALUE!</v>
      </c>
      <c r="CI260" s="1" t="str">
        <f t="shared" si="195"/>
        <v/>
      </c>
      <c r="CJ260" s="79" t="e">
        <f>IF(IF(COUNTIF($CJ$4:CJ259,CJ257)&gt;=MAX($D$4:$D$8),CJ257+3,CJ257)&gt;55,"",IF(COUNTIF($CJ$4:CJ259,CJ257)&gt;=MAX($D$4:$D$8),CJ257+3,CJ257))</f>
        <v>#VALUE!</v>
      </c>
      <c r="CK260" s="1" t="e">
        <f t="shared" si="181"/>
        <v>#VALUE!</v>
      </c>
      <c r="CL260" s="8" t="str">
        <f t="shared" si="196"/>
        <v/>
      </c>
      <c r="CN260" s="71" t="e">
        <f t="shared" si="187"/>
        <v>#VALUE!</v>
      </c>
      <c r="CO260" s="71" t="str">
        <f>IF(OR(COUNTBLANK(CR260)=1,ISERROR(CR260)),"",COUNT($CR$4:CR260))</f>
        <v/>
      </c>
      <c r="CP260" s="7" t="e">
        <f t="shared" si="188"/>
        <v>#VALUE!</v>
      </c>
      <c r="CQ260" s="1" t="str">
        <f t="shared" si="189"/>
        <v/>
      </c>
      <c r="CR260" s="79" t="e">
        <f>IF(IF(COUNTIF($CR$4:CR259,CR256)&gt;=MAX($D$4:$D$8),CR256+4,CR256)&gt;55,"",IF(COUNTIF($CR$4:CR259,CR256)&gt;=MAX($D$4:$D$8),CR256+4,CR256))</f>
        <v>#VALUE!</v>
      </c>
      <c r="CS260" s="1" t="e">
        <f t="shared" si="182"/>
        <v>#VALUE!</v>
      </c>
      <c r="CT260" s="8" t="str">
        <f t="shared" si="190"/>
        <v/>
      </c>
      <c r="CV260" s="71" t="e">
        <f t="shared" si="197"/>
        <v>#VALUE!</v>
      </c>
      <c r="CW260" s="71" t="str">
        <f>IF(OR(COUNTBLANK(CZ260)=1,ISERROR(CZ260)),"",COUNT($CZ$4:CZ260))</f>
        <v/>
      </c>
      <c r="CX260" s="7" t="e">
        <f t="shared" si="198"/>
        <v>#VALUE!</v>
      </c>
      <c r="CY260" s="1" t="str">
        <f t="shared" si="199"/>
        <v/>
      </c>
      <c r="CZ260" s="79" t="e">
        <f>IF(IF(COUNTIF($CZ$4:CZ259,CZ255)&gt;=MAX($D$4:$D$8),CZ255+5,CZ255)&gt;55,"",IF(COUNTIF($CZ$4:CZ259,CZ255)&gt;=MAX($D$4:$D$8),CZ255+5,CZ255))</f>
        <v>#VALUE!</v>
      </c>
      <c r="DA260" s="1" t="e">
        <f t="shared" si="183"/>
        <v>#VALUE!</v>
      </c>
      <c r="DB260" s="8" t="str">
        <f t="shared" si="200"/>
        <v/>
      </c>
    </row>
    <row r="261" spans="5:106" x14ac:dyDescent="0.15">
      <c r="E261" s="1">
        <v>258</v>
      </c>
      <c r="F261" s="1">
        <f t="shared" si="184"/>
        <v>1</v>
      </c>
      <c r="G261" s="1">
        <f t="shared" si="191"/>
        <v>1</v>
      </c>
      <c r="H261" s="1">
        <f t="shared" si="185"/>
        <v>1</v>
      </c>
      <c r="I261" s="1">
        <f t="shared" si="186"/>
        <v>1</v>
      </c>
      <c r="J261" s="1">
        <f t="shared" si="192"/>
        <v>1</v>
      </c>
      <c r="W261" s="71" t="e">
        <f t="shared" si="201"/>
        <v>#VALUE!</v>
      </c>
      <c r="X261" s="71" t="str">
        <f>IF(OR(COUNTBLANK(AA261)=1,ISERROR(AA261)),"",COUNT(AA4:AA261))</f>
        <v/>
      </c>
      <c r="Y261" s="7" t="e">
        <f t="shared" si="203"/>
        <v>#VALUE!</v>
      </c>
      <c r="Z261" s="1" t="str">
        <f t="shared" ref="Z261:Z278" si="217">IF(ISERROR(INDEX($C$4:$C$8,MATCH(F261,$D$4:$D$8,0))),"",INDEX($C$4:$C$8,MATCH(F261,$D$4:$D$8,0)))</f>
        <v/>
      </c>
      <c r="AA261" s="79" t="e">
        <f>IF(IF(COUNTIF(AA4:AA260,AA260)&gt;=MAX(D4:D8),AA260+1,AA260)&gt;50,"",IF(COUNTIF(AA4:AA260,AA260)&gt;=MAX(D4:D8),AA260+1,AA260))</f>
        <v>#VALUE!</v>
      </c>
      <c r="AB261" s="1" t="e">
        <f>IF(AA261="","",VLOOKUP(AA261,S4:U53,3,0))</f>
        <v>#VALUE!</v>
      </c>
      <c r="AC261" s="8" t="str">
        <f t="shared" si="204"/>
        <v/>
      </c>
      <c r="AE261" s="71" t="e">
        <f t="shared" si="205"/>
        <v>#VALUE!</v>
      </c>
      <c r="AF261" s="71" t="str">
        <f>IF(OR(COUNTBLANK(AI261)=1,ISERROR(AI261)),"",COUNT(AI4:AI261))</f>
        <v/>
      </c>
      <c r="AG261" s="7" t="e">
        <f t="shared" si="206"/>
        <v>#VALUE!</v>
      </c>
      <c r="AH261" s="1" t="str">
        <f>IF(ISERROR(INDEX(C4:C8,MATCH(G261,D4:D8,0))),"",INDEX(C4:C8,MATCH(G261,D4:D8,0)))</f>
        <v/>
      </c>
      <c r="AI261" s="79" t="e">
        <f>IF(IF(COUNTIF(AI4:AI259,AI259)&gt;=MAX(D4:D8),AI259+2,AI259)&gt;50,"",IF(COUNTIF(AI4:AI259,AI259)&gt;=MAX(D4:D8),AI259+2,AI259))</f>
        <v>#VALUE!</v>
      </c>
      <c r="AJ261" s="1" t="e">
        <f>IF(AI261="","",VLOOKUP(AI261,S4:U53,3,0))</f>
        <v>#VALUE!</v>
      </c>
      <c r="AK261" s="8" t="str">
        <f t="shared" si="207"/>
        <v/>
      </c>
      <c r="AM261" s="71" t="e">
        <f t="shared" si="208"/>
        <v>#VALUE!</v>
      </c>
      <c r="AN261" s="71" t="str">
        <f>IF(OR(COUNTBLANK(AQ261)=1,ISERROR(AQ261)),"",COUNT(AQ4:AQ261))</f>
        <v/>
      </c>
      <c r="AO261" s="7" t="e">
        <f t="shared" si="209"/>
        <v>#VALUE!</v>
      </c>
      <c r="AP261" s="1" t="str">
        <f>IF(ISERROR(INDEX(C4:C8,MATCH(H261,D4:D8,0))),"",INDEX(C4:C8,MATCH(H261,D4:D8,0)))</f>
        <v/>
      </c>
      <c r="AQ261" s="79" t="e">
        <f>IF(IF(COUNTIF(AQ4:AQ260,AQ258)&gt;=MAX(D4:D8),AQ258+3,AQ258)&gt;50,"",IF(COUNTIF(AQ4:AQ260,AQ258)&gt;=MAX(D4:D8),AQ258+3,AQ258))</f>
        <v>#VALUE!</v>
      </c>
      <c r="AR261" s="1" t="e">
        <f>IF(AQ261="","",VLOOKUP(AQ261,S4:U53,3,0))</f>
        <v>#VALUE!</v>
      </c>
      <c r="AS261" s="8" t="str">
        <f t="shared" si="210"/>
        <v/>
      </c>
      <c r="AU261" s="71" t="e">
        <f t="shared" si="211"/>
        <v>#VALUE!</v>
      </c>
      <c r="AV261" s="71" t="str">
        <f>IF(OR(COUNTBLANK(AY261)=1,ISERROR(AY261)),"",COUNT(AY4:AY261))</f>
        <v/>
      </c>
      <c r="AW261" s="7" t="e">
        <f t="shared" si="212"/>
        <v>#VALUE!</v>
      </c>
      <c r="AX261" s="1" t="str">
        <f>IF(ISERROR(INDEX(C4:C8,MATCH(I261,D4:D8,0))),"",INDEX(C4:C8,MATCH(I261,D4:D8,0)))</f>
        <v/>
      </c>
      <c r="AY261" s="79" t="e">
        <f>IF(IF(COUNTIF(AY4:AY260,AY257)&gt;=MAX(D4:D8),AY257+4,AY257)&gt;50,"",IF(COUNTIF(AY4:AY260,AY257)&gt;=MAX(D4:D8),AY257+4,AY257))</f>
        <v>#VALUE!</v>
      </c>
      <c r="AZ261" s="76" t="e">
        <f>IF(AY261="","",VLOOKUP(AY261,S4:U53,3,0))</f>
        <v>#VALUE!</v>
      </c>
      <c r="BA261" s="8" t="str">
        <f t="shared" si="213"/>
        <v/>
      </c>
      <c r="BC261" s="71" t="e">
        <f t="shared" si="214"/>
        <v>#VALUE!</v>
      </c>
      <c r="BD261" s="71" t="str">
        <f>IF(OR(COUNTBLANK(BG261)=1,ISERROR(BG261)),"",COUNT(BG4:BG261))</f>
        <v/>
      </c>
      <c r="BE261" s="7" t="e">
        <f t="shared" si="215"/>
        <v>#VALUE!</v>
      </c>
      <c r="BF261" s="1" t="str">
        <f>IF(ISERROR(INDEX(C4:C8,MATCH(J261,D4:D8,0))),"",INDEX(C4:C8,MATCH(J261,D4:D8,0)))</f>
        <v/>
      </c>
      <c r="BG261" s="79" t="e">
        <f>IF(IF(COUNTIF(BG4:BG260,BG256)&gt;=MAX(D4:D8),BG256+5,BG256)&gt;50,"",IF(COUNTIF(BG4:BG260,BG256)&gt;=MAX(D4:D8),BG256+5,BG256))</f>
        <v>#VALUE!</v>
      </c>
      <c r="BH261" s="76" t="e">
        <f>IF(BG261="","",VLOOKUP(BG261,S4:U53,3,0))</f>
        <v>#VALUE!</v>
      </c>
      <c r="BI261" s="8" t="str">
        <f t="shared" si="216"/>
        <v/>
      </c>
      <c r="BP261" s="71" t="e">
        <f t="shared" si="202"/>
        <v>#VALUE!</v>
      </c>
      <c r="BQ261" s="71" t="str">
        <f>IF(OR(COUNTBLANK(BT261)=1,ISERROR(BT261)),"",COUNT(BT4:BT261))</f>
        <v/>
      </c>
      <c r="BR261" s="7" t="e">
        <f t="shared" ref="BR261:BR278" si="218">IF(BT261&gt;25,"ナビ・","1・2年のWナビ・")</f>
        <v>#VALUE!</v>
      </c>
      <c r="BS261" s="1" t="str">
        <f t="shared" ref="BS261:BS278" si="219">IF(ISERROR(INDEX($C$4:$C$8,MATCH(F261,$D$4:$D$8,0))),"",INDEX($C$4:$C$8,MATCH(F261,$D$4:$D$8,0)))</f>
        <v/>
      </c>
      <c r="BT261" s="79" t="e">
        <f>IF(IF(COUNTIF($BT$4:BT260,BT260)&gt;=MAX($D$4:$D$8),BT260+1,BT260)&gt;55,"",IF(COUNTIF($BT$4:BT260,BT260)&gt;=MAX($D$4:$D$8),BT260+1,BT260))</f>
        <v>#VALUE!</v>
      </c>
      <c r="BU261" s="1" t="e">
        <f t="shared" ref="BU261:BU278" si="220">IF(BT261="","",VLOOKUP(BT261,$BL$4:$BN$58,3,0))</f>
        <v>#VALUE!</v>
      </c>
      <c r="BV261" s="8" t="str">
        <f t="shared" ref="BV261:BV278" si="221">IF(ISERROR(IF(COUNTIF(BS261:BU261,"")&gt;=1,"",BR261&amp;BS261&amp;"【"&amp;VLOOKUP(BT261,$BL$4:$BN$58,2,0)&amp;"】"&amp;BU261)),"",IF(COUNTIF(BS261:BU261,"")&gt;=1,"",BR261&amp;BS261&amp;"【"&amp;VLOOKUP(BT261,$BL$4:$BN$58,2,0)&amp;"】"&amp;BU261))</f>
        <v/>
      </c>
      <c r="BX261" s="71" t="e">
        <f t="shared" ref="BX261:BX278" si="222">IF(CB261="","",CB261*10+G261)</f>
        <v>#VALUE!</v>
      </c>
      <c r="BY261" s="71" t="str">
        <f>IF(OR(COUNTBLANK(CB261)=1,ISERROR(CB261)),"",COUNT($CB$4:CB261))</f>
        <v/>
      </c>
      <c r="BZ261" s="7" t="e">
        <f t="shared" ref="BZ261:BZ278" si="223">IF(CB261&gt;25,"ナビ・","1・2年のWナビ・")</f>
        <v>#VALUE!</v>
      </c>
      <c r="CA261" s="1" t="str">
        <f t="shared" ref="CA261:CA278" si="224">IF(ISERROR(INDEX($C$4:$C$8,MATCH(G261,$D$4:$D$8,0))),"",INDEX($C$4:$C$8,MATCH(G261,$D$4:$D$8,0)))</f>
        <v/>
      </c>
      <c r="CB261" s="79" t="e">
        <f>IF(IF(COUNTIF($CB$4:CB260,CB259)&gt;=MAX($D$4:$D$8),CB259+2,CB259)&gt;55,"",IF(COUNTIF($CB$4:CB260,CB259)&gt;=MAX($D$4:$D$8),CB259+2,CB259))</f>
        <v>#VALUE!</v>
      </c>
      <c r="CC261" s="1" t="e">
        <f t="shared" ref="CC261:CC278" si="225">IF(CB261="","",VLOOKUP(CB261,$BL$4:$BN$58,3,0))</f>
        <v>#VALUE!</v>
      </c>
      <c r="CD261" s="8" t="str">
        <f t="shared" ref="CD261:CD278" si="226">IF(ISERROR(IF(COUNTIF(CA261:CC261,"")&gt;=1,"",BZ261&amp;CA261&amp;"【"&amp;VLOOKUP(CB261,$BL$4:$BN$58,2,0)&amp;"】"&amp;CC261)),"",IF(COUNTIF(CA261:CC261,"")&gt;=1,"",BZ261&amp;CA261&amp;"【"&amp;VLOOKUP(CB261,$BL$4:$BN$58,2,0)&amp;"】"&amp;CC261))</f>
        <v/>
      </c>
      <c r="CF261" s="71" t="e">
        <f t="shared" si="193"/>
        <v>#VALUE!</v>
      </c>
      <c r="CG261" s="71" t="str">
        <f>IF(OR(COUNTBLANK(CJ261)=1,ISERROR(CJ261)),"",COUNT($CJ$4:CJ261))</f>
        <v/>
      </c>
      <c r="CH261" s="7" t="e">
        <f t="shared" si="194"/>
        <v>#VALUE!</v>
      </c>
      <c r="CI261" s="1" t="str">
        <f t="shared" si="195"/>
        <v/>
      </c>
      <c r="CJ261" s="79" t="e">
        <f>IF(IF(COUNTIF($CJ$4:CJ260,CJ258)&gt;=MAX($D$4:$D$8),CJ258+3,CJ258)&gt;55,"",IF(COUNTIF($CJ$4:CJ260,CJ258)&gt;=MAX($D$4:$D$8),CJ258+3,CJ258))</f>
        <v>#VALUE!</v>
      </c>
      <c r="CK261" s="1" t="e">
        <f t="shared" ref="CK261:CK278" si="227">IF(CJ261="","",VLOOKUP(CJ261,$BL$4:$BN$58,3,0))</f>
        <v>#VALUE!</v>
      </c>
      <c r="CL261" s="8" t="str">
        <f t="shared" si="196"/>
        <v/>
      </c>
      <c r="CN261" s="71" t="e">
        <f t="shared" si="187"/>
        <v>#VALUE!</v>
      </c>
      <c r="CO261" s="71" t="str">
        <f>IF(OR(COUNTBLANK(CR261)=1,ISERROR(CR261)),"",COUNT($CR$4:CR261))</f>
        <v/>
      </c>
      <c r="CP261" s="7" t="e">
        <f t="shared" si="188"/>
        <v>#VALUE!</v>
      </c>
      <c r="CQ261" s="1" t="str">
        <f t="shared" si="189"/>
        <v/>
      </c>
      <c r="CR261" s="79" t="e">
        <f>IF(IF(COUNTIF($CR$4:CR260,CR257)&gt;=MAX($D$4:$D$8),CR257+4,CR257)&gt;55,"",IF(COUNTIF($CR$4:CR260,CR257)&gt;=MAX($D$4:$D$8),CR257+4,CR257))</f>
        <v>#VALUE!</v>
      </c>
      <c r="CS261" s="1" t="e">
        <f t="shared" ref="CS261:CS278" si="228">IF(CR261="","",VLOOKUP(CR261,$BL$4:$BN$58,3,0))</f>
        <v>#VALUE!</v>
      </c>
      <c r="CT261" s="8" t="str">
        <f t="shared" si="190"/>
        <v/>
      </c>
      <c r="CV261" s="71" t="e">
        <f t="shared" si="197"/>
        <v>#VALUE!</v>
      </c>
      <c r="CW261" s="71" t="str">
        <f>IF(OR(COUNTBLANK(CZ261)=1,ISERROR(CZ261)),"",COUNT($CZ$4:CZ261))</f>
        <v/>
      </c>
      <c r="CX261" s="7" t="e">
        <f t="shared" si="198"/>
        <v>#VALUE!</v>
      </c>
      <c r="CY261" s="1" t="str">
        <f t="shared" si="199"/>
        <v/>
      </c>
      <c r="CZ261" s="79" t="e">
        <f>IF(IF(COUNTIF($CZ$4:CZ260,CZ256)&gt;=MAX($D$4:$D$8),CZ256+5,CZ256)&gt;55,"",IF(COUNTIF($CZ$4:CZ260,CZ256)&gt;=MAX($D$4:$D$8),CZ256+5,CZ256))</f>
        <v>#VALUE!</v>
      </c>
      <c r="DA261" s="1" t="e">
        <f t="shared" ref="DA261:DA278" si="229">IF(CZ261="","",VLOOKUP(CZ261,$BL$4:$BN$58,3,0))</f>
        <v>#VALUE!</v>
      </c>
      <c r="DB261" s="8" t="str">
        <f t="shared" si="200"/>
        <v/>
      </c>
    </row>
    <row r="262" spans="5:106" x14ac:dyDescent="0.15">
      <c r="E262" s="1">
        <v>259</v>
      </c>
      <c r="F262" s="1">
        <f t="shared" ref="F262:F278" si="230">IF(F261+1&gt;MAX($D$4:$D$8),1,F261+1)</f>
        <v>1</v>
      </c>
      <c r="G262" s="1">
        <f t="shared" si="191"/>
        <v>1</v>
      </c>
      <c r="H262" s="1">
        <f t="shared" si="185"/>
        <v>1</v>
      </c>
      <c r="I262" s="1">
        <f t="shared" si="186"/>
        <v>1</v>
      </c>
      <c r="J262" s="1">
        <f t="shared" si="192"/>
        <v>1</v>
      </c>
      <c r="W262" s="71" t="e">
        <f t="shared" si="201"/>
        <v>#VALUE!</v>
      </c>
      <c r="X262" s="71" t="str">
        <f>IF(OR(COUNTBLANK(AA262)=1,ISERROR(AA262)),"",COUNT(AA4:AA262))</f>
        <v/>
      </c>
      <c r="Y262" s="7" t="e">
        <f t="shared" si="203"/>
        <v>#VALUE!</v>
      </c>
      <c r="Z262" s="1" t="str">
        <f t="shared" si="217"/>
        <v/>
      </c>
      <c r="AA262" s="79" t="e">
        <f>IF(IF(COUNTIF(AA4:AA261,AA261)&gt;=MAX(D4:D8),AA261+1,AA261)&gt;50,"",IF(COUNTIF(AA4:AA261,AA261)&gt;=MAX(D4:D8),AA261+1,AA261))</f>
        <v>#VALUE!</v>
      </c>
      <c r="AB262" s="1" t="e">
        <f>IF(AA262="","",VLOOKUP(AA262,S4:U53,3,0))</f>
        <v>#VALUE!</v>
      </c>
      <c r="AC262" s="8" t="str">
        <f t="shared" si="204"/>
        <v/>
      </c>
      <c r="AE262" s="71" t="e">
        <f t="shared" si="205"/>
        <v>#VALUE!</v>
      </c>
      <c r="AF262" s="71" t="str">
        <f>IF(OR(COUNTBLANK(AI262)=1,ISERROR(AI262)),"",COUNT(AI4:AI262))</f>
        <v/>
      </c>
      <c r="AG262" s="7" t="e">
        <f t="shared" si="206"/>
        <v>#VALUE!</v>
      </c>
      <c r="AH262" s="1" t="str">
        <f>IF(ISERROR(INDEX(C4:C8,MATCH(G262,D4:D8,0))),"",INDEX(C4:C8,MATCH(G262,D4:D8,0)))</f>
        <v/>
      </c>
      <c r="AI262" s="79" t="e">
        <f>IF(IF(COUNTIF(AI4:AI260,AI260)&gt;=MAX(D4:D8),AI260+2,AI260)&gt;50,"",IF(COUNTIF(AI4:AI260,AI260)&gt;=MAX(D4:D8),AI260+2,AI260))</f>
        <v>#VALUE!</v>
      </c>
      <c r="AJ262" s="1" t="e">
        <f>IF(AI262="","",VLOOKUP(AI262,S4:U53,3,0))</f>
        <v>#VALUE!</v>
      </c>
      <c r="AK262" s="8" t="str">
        <f t="shared" si="207"/>
        <v/>
      </c>
      <c r="AM262" s="71" t="e">
        <f t="shared" si="208"/>
        <v>#VALUE!</v>
      </c>
      <c r="AN262" s="71" t="str">
        <f>IF(OR(COUNTBLANK(AQ262)=1,ISERROR(AQ262)),"",COUNT(AQ4:AQ262))</f>
        <v/>
      </c>
      <c r="AO262" s="7" t="e">
        <f t="shared" si="209"/>
        <v>#VALUE!</v>
      </c>
      <c r="AP262" s="1" t="str">
        <f>IF(ISERROR(INDEX(C4:C8,MATCH(H262,D4:D8,0))),"",INDEX(C4:C8,MATCH(H262,D4:D8,0)))</f>
        <v/>
      </c>
      <c r="AQ262" s="79" t="e">
        <f>IF(IF(COUNTIF(AQ4:AQ261,AQ259)&gt;=MAX(D4:D8),AQ259+3,AQ259)&gt;50,"",IF(COUNTIF(AQ4:AQ261,AQ259)&gt;=MAX(D4:D8),AQ259+3,AQ259))</f>
        <v>#VALUE!</v>
      </c>
      <c r="AR262" s="1" t="e">
        <f>IF(AQ262="","",VLOOKUP(AQ262,S4:U53,3,0))</f>
        <v>#VALUE!</v>
      </c>
      <c r="AS262" s="8" t="str">
        <f t="shared" si="210"/>
        <v/>
      </c>
      <c r="AU262" s="71" t="e">
        <f t="shared" si="211"/>
        <v>#VALUE!</v>
      </c>
      <c r="AV262" s="71" t="str">
        <f>IF(OR(COUNTBLANK(AY262)=1,ISERROR(AY262)),"",COUNT(AY4:AY262))</f>
        <v/>
      </c>
      <c r="AW262" s="7" t="e">
        <f t="shared" si="212"/>
        <v>#VALUE!</v>
      </c>
      <c r="AX262" s="1" t="str">
        <f>IF(ISERROR(INDEX(C4:C8,MATCH(I262,D4:D8,0))),"",INDEX(C4:C8,MATCH(I262,D4:D8,0)))</f>
        <v/>
      </c>
      <c r="AY262" s="79" t="e">
        <f>IF(IF(COUNTIF(AY4:AY261,AY258)&gt;=MAX(D4:D8),AY258+4,AY258)&gt;50,"",IF(COUNTIF(AY4:AY261,AY258)&gt;=MAX(D4:D8),AY258+4,AY258))</f>
        <v>#VALUE!</v>
      </c>
      <c r="AZ262" s="76" t="e">
        <f>IF(AY262="","",VLOOKUP(AY262,S4:U53,3,0))</f>
        <v>#VALUE!</v>
      </c>
      <c r="BA262" s="8" t="str">
        <f t="shared" si="213"/>
        <v/>
      </c>
      <c r="BC262" s="71" t="e">
        <f t="shared" si="214"/>
        <v>#VALUE!</v>
      </c>
      <c r="BD262" s="71" t="str">
        <f>IF(OR(COUNTBLANK(BG262)=1,ISERROR(BG262)),"",COUNT(BG4:BG262))</f>
        <v/>
      </c>
      <c r="BE262" s="7" t="e">
        <f t="shared" si="215"/>
        <v>#VALUE!</v>
      </c>
      <c r="BF262" s="1" t="str">
        <f>IF(ISERROR(INDEX(C4:C8,MATCH(J262,D4:D8,0))),"",INDEX(C4:C8,MATCH(J262,D4:D8,0)))</f>
        <v/>
      </c>
      <c r="BG262" s="79" t="e">
        <f>IF(IF(COUNTIF(BG4:BG261,BG257)&gt;=MAX(D4:D8),BG257+5,BG257)&gt;50,"",IF(COUNTIF(BG4:BG261,BG257)&gt;=MAX(D4:D8),BG257+5,BG257))</f>
        <v>#VALUE!</v>
      </c>
      <c r="BH262" s="76" t="e">
        <f>IF(BG262="","",VLOOKUP(BG262,S4:U53,3,0))</f>
        <v>#VALUE!</v>
      </c>
      <c r="BI262" s="8" t="str">
        <f t="shared" si="216"/>
        <v/>
      </c>
      <c r="BP262" s="71" t="e">
        <f t="shared" si="202"/>
        <v>#VALUE!</v>
      </c>
      <c r="BQ262" s="71" t="str">
        <f>IF(OR(COUNTBLANK(BT262)=1,ISERROR(BT262)),"",COUNT(BT4:BT262))</f>
        <v/>
      </c>
      <c r="BR262" s="7" t="e">
        <f t="shared" si="218"/>
        <v>#VALUE!</v>
      </c>
      <c r="BS262" s="1" t="str">
        <f t="shared" si="219"/>
        <v/>
      </c>
      <c r="BT262" s="79" t="e">
        <f>IF(IF(COUNTIF($BT$4:BT261,BT261)&gt;=MAX($D$4:$D$8),BT261+1,BT261)&gt;55,"",IF(COUNTIF($BT$4:BT261,BT261)&gt;=MAX($D$4:$D$8),BT261+1,BT261))</f>
        <v>#VALUE!</v>
      </c>
      <c r="BU262" s="1" t="e">
        <f t="shared" si="220"/>
        <v>#VALUE!</v>
      </c>
      <c r="BV262" s="8" t="str">
        <f t="shared" si="221"/>
        <v/>
      </c>
      <c r="BX262" s="71" t="e">
        <f t="shared" si="222"/>
        <v>#VALUE!</v>
      </c>
      <c r="BY262" s="71" t="str">
        <f>IF(OR(COUNTBLANK(CB262)=1,ISERROR(CB262)),"",COUNT($CB$4:CB262))</f>
        <v/>
      </c>
      <c r="BZ262" s="7" t="e">
        <f t="shared" si="223"/>
        <v>#VALUE!</v>
      </c>
      <c r="CA262" s="1" t="str">
        <f t="shared" si="224"/>
        <v/>
      </c>
      <c r="CB262" s="79" t="e">
        <f>IF(IF(COUNTIF($CB$4:CB261,CB260)&gt;=MAX($D$4:$D$8),CB260+2,CB260)&gt;55,"",IF(COUNTIF($CB$4:CB261,CB260)&gt;=MAX($D$4:$D$8),CB260+2,CB260))</f>
        <v>#VALUE!</v>
      </c>
      <c r="CC262" s="1" t="e">
        <f t="shared" si="225"/>
        <v>#VALUE!</v>
      </c>
      <c r="CD262" s="8" t="str">
        <f t="shared" si="226"/>
        <v/>
      </c>
      <c r="CF262" s="71" t="e">
        <f t="shared" si="193"/>
        <v>#VALUE!</v>
      </c>
      <c r="CG262" s="71" t="str">
        <f>IF(OR(COUNTBLANK(CJ262)=1,ISERROR(CJ262)),"",COUNT($CJ$4:CJ262))</f>
        <v/>
      </c>
      <c r="CH262" s="7" t="e">
        <f t="shared" si="194"/>
        <v>#VALUE!</v>
      </c>
      <c r="CI262" s="1" t="str">
        <f t="shared" si="195"/>
        <v/>
      </c>
      <c r="CJ262" s="79" t="e">
        <f>IF(IF(COUNTIF($CJ$4:CJ261,CJ259)&gt;=MAX($D$4:$D$8),CJ259+3,CJ259)&gt;55,"",IF(COUNTIF($CJ$4:CJ261,CJ259)&gt;=MAX($D$4:$D$8),CJ259+3,CJ259))</f>
        <v>#VALUE!</v>
      </c>
      <c r="CK262" s="1" t="e">
        <f t="shared" si="227"/>
        <v>#VALUE!</v>
      </c>
      <c r="CL262" s="8" t="str">
        <f t="shared" si="196"/>
        <v/>
      </c>
      <c r="CN262" s="71" t="e">
        <f t="shared" si="187"/>
        <v>#VALUE!</v>
      </c>
      <c r="CO262" s="71" t="str">
        <f>IF(OR(COUNTBLANK(CR262)=1,ISERROR(CR262)),"",COUNT($CR$4:CR262))</f>
        <v/>
      </c>
      <c r="CP262" s="7" t="e">
        <f t="shared" si="188"/>
        <v>#VALUE!</v>
      </c>
      <c r="CQ262" s="1" t="str">
        <f t="shared" si="189"/>
        <v/>
      </c>
      <c r="CR262" s="79" t="e">
        <f>IF(IF(COUNTIF($CR$4:CR261,CR258)&gt;=MAX($D$4:$D$8),CR258+4,CR258)&gt;55,"",IF(COUNTIF($CR$4:CR261,CR258)&gt;=MAX($D$4:$D$8),CR258+4,CR258))</f>
        <v>#VALUE!</v>
      </c>
      <c r="CS262" s="1" t="e">
        <f t="shared" si="228"/>
        <v>#VALUE!</v>
      </c>
      <c r="CT262" s="8" t="str">
        <f t="shared" si="190"/>
        <v/>
      </c>
      <c r="CV262" s="71" t="e">
        <f t="shared" si="197"/>
        <v>#VALUE!</v>
      </c>
      <c r="CW262" s="71" t="str">
        <f>IF(OR(COUNTBLANK(CZ262)=1,ISERROR(CZ262)),"",COUNT($CZ$4:CZ262))</f>
        <v/>
      </c>
      <c r="CX262" s="7" t="e">
        <f t="shared" si="198"/>
        <v>#VALUE!</v>
      </c>
      <c r="CY262" s="1" t="str">
        <f t="shared" si="199"/>
        <v/>
      </c>
      <c r="CZ262" s="79" t="e">
        <f>IF(IF(COUNTIF($CZ$4:CZ261,CZ257)&gt;=MAX($D$4:$D$8),CZ257+5,CZ257)&gt;55,"",IF(COUNTIF($CZ$4:CZ261,CZ257)&gt;=MAX($D$4:$D$8),CZ257+5,CZ257))</f>
        <v>#VALUE!</v>
      </c>
      <c r="DA262" s="1" t="e">
        <f t="shared" si="229"/>
        <v>#VALUE!</v>
      </c>
      <c r="DB262" s="8" t="str">
        <f t="shared" si="200"/>
        <v/>
      </c>
    </row>
    <row r="263" spans="5:106" x14ac:dyDescent="0.15">
      <c r="E263" s="1">
        <v>260</v>
      </c>
      <c r="F263" s="1">
        <f t="shared" si="230"/>
        <v>1</v>
      </c>
      <c r="G263" s="1">
        <f t="shared" si="191"/>
        <v>1</v>
      </c>
      <c r="H263" s="1">
        <f t="shared" si="185"/>
        <v>1</v>
      </c>
      <c r="I263" s="1">
        <f t="shared" si="186"/>
        <v>1</v>
      </c>
      <c r="J263" s="1">
        <f t="shared" si="192"/>
        <v>1</v>
      </c>
      <c r="W263" s="71" t="e">
        <f t="shared" si="201"/>
        <v>#VALUE!</v>
      </c>
      <c r="X263" s="71" t="str">
        <f>IF(OR(COUNTBLANK(AA263)=1,ISERROR(AA263)),"",COUNT(AA4:AA263))</f>
        <v/>
      </c>
      <c r="Y263" s="7" t="e">
        <f t="shared" si="203"/>
        <v>#VALUE!</v>
      </c>
      <c r="Z263" s="1" t="str">
        <f t="shared" si="217"/>
        <v/>
      </c>
      <c r="AA263" s="79" t="e">
        <f>IF(IF(COUNTIF(AA4:AA262,AA262)&gt;=MAX(D4:D8),AA262+1,AA262)&gt;50,"",IF(COUNTIF(AA4:AA262,AA262)&gt;=MAX(D4:D8),AA262+1,AA262))</f>
        <v>#VALUE!</v>
      </c>
      <c r="AB263" s="1" t="e">
        <f>IF(AA263="","",VLOOKUP(AA263,S4:U53,3,0))</f>
        <v>#VALUE!</v>
      </c>
      <c r="AC263" s="8" t="str">
        <f t="shared" si="204"/>
        <v/>
      </c>
      <c r="AE263" s="71" t="e">
        <f t="shared" si="205"/>
        <v>#VALUE!</v>
      </c>
      <c r="AF263" s="71" t="str">
        <f>IF(OR(COUNTBLANK(AI263)=1,ISERROR(AI263)),"",COUNT(AI4:AI263))</f>
        <v/>
      </c>
      <c r="AG263" s="7" t="e">
        <f t="shared" si="206"/>
        <v>#VALUE!</v>
      </c>
      <c r="AH263" s="1" t="str">
        <f>IF(ISERROR(INDEX(C4:C8,MATCH(G263,D4:D8,0))),"",INDEX(C4:C8,MATCH(G263,D4:D8,0)))</f>
        <v/>
      </c>
      <c r="AI263" s="79" t="e">
        <f>IF(IF(COUNTIF(AI4:AI261,AI261)&gt;=MAX(D4:D8),AI261+2,AI261)&gt;50,"",IF(COUNTIF(AI4:AI261,AI261)&gt;=MAX(D4:D8),AI261+2,AI261))</f>
        <v>#VALUE!</v>
      </c>
      <c r="AJ263" s="1" t="e">
        <f>IF(AI263="","",VLOOKUP(AI263,S4:U53,3,0))</f>
        <v>#VALUE!</v>
      </c>
      <c r="AK263" s="8" t="str">
        <f t="shared" si="207"/>
        <v/>
      </c>
      <c r="AM263" s="71" t="e">
        <f t="shared" si="208"/>
        <v>#VALUE!</v>
      </c>
      <c r="AN263" s="71" t="str">
        <f>IF(OR(COUNTBLANK(AQ263)=1,ISERROR(AQ263)),"",COUNT(AQ4:AQ263))</f>
        <v/>
      </c>
      <c r="AO263" s="7" t="e">
        <f t="shared" si="209"/>
        <v>#VALUE!</v>
      </c>
      <c r="AP263" s="1" t="str">
        <f>IF(ISERROR(INDEX(C4:C8,MATCH(H263,D4:D8,0))),"",INDEX(C4:C8,MATCH(H263,D4:D8,0)))</f>
        <v/>
      </c>
      <c r="AQ263" s="79" t="e">
        <f>IF(IF(COUNTIF(AQ4:AQ262,AQ260)&gt;=MAX(D4:D8),AQ260+3,AQ260)&gt;50,"",IF(COUNTIF(AQ4:AQ262,AQ260)&gt;=MAX(D4:D8),AQ260+3,AQ260))</f>
        <v>#VALUE!</v>
      </c>
      <c r="AR263" s="1" t="e">
        <f>IF(AQ263="","",VLOOKUP(AQ263,S4:U53,3,0))</f>
        <v>#VALUE!</v>
      </c>
      <c r="AS263" s="8" t="str">
        <f t="shared" si="210"/>
        <v/>
      </c>
      <c r="AU263" s="71" t="e">
        <f t="shared" si="211"/>
        <v>#VALUE!</v>
      </c>
      <c r="AV263" s="71" t="str">
        <f>IF(OR(COUNTBLANK(AY263)=1,ISERROR(AY263)),"",COUNT(AY4:AY263))</f>
        <v/>
      </c>
      <c r="AW263" s="7" t="e">
        <f t="shared" si="212"/>
        <v>#VALUE!</v>
      </c>
      <c r="AX263" s="1" t="str">
        <f>IF(ISERROR(INDEX(C4:C8,MATCH(I263,D4:D8,0))),"",INDEX(C4:C8,MATCH(I263,D4:D8,0)))</f>
        <v/>
      </c>
      <c r="AY263" s="79" t="e">
        <f>IF(IF(COUNTIF(AY4:AY262,AY259)&gt;=MAX(D4:D8),AY259+4,AY259)&gt;50,"",IF(COUNTIF(AY4:AY262,AY259)&gt;=MAX(D4:D8),AY259+4,AY259))</f>
        <v>#VALUE!</v>
      </c>
      <c r="AZ263" s="76" t="e">
        <f>IF(AY263="","",VLOOKUP(AY263,S4:U53,3,0))</f>
        <v>#VALUE!</v>
      </c>
      <c r="BA263" s="8" t="str">
        <f t="shared" si="213"/>
        <v/>
      </c>
      <c r="BC263" s="71" t="e">
        <f t="shared" si="214"/>
        <v>#VALUE!</v>
      </c>
      <c r="BD263" s="71" t="str">
        <f>IF(OR(COUNTBLANK(BG263)=1,ISERROR(BG263)),"",COUNT(BG4:BG263))</f>
        <v/>
      </c>
      <c r="BE263" s="7" t="e">
        <f t="shared" si="215"/>
        <v>#VALUE!</v>
      </c>
      <c r="BF263" s="1" t="str">
        <f>IF(ISERROR(INDEX(C4:C8,MATCH(J263,D4:D8,0))),"",INDEX(C4:C8,MATCH(J263,D4:D8,0)))</f>
        <v/>
      </c>
      <c r="BG263" s="79" t="e">
        <f>IF(IF(COUNTIF(BG4:BG262,BG258)&gt;=MAX(D4:D8),BG258+5,BG258)&gt;50,"",IF(COUNTIF(BG4:BG262,BG258)&gt;=MAX(D4:D8),BG258+5,BG258))</f>
        <v>#VALUE!</v>
      </c>
      <c r="BH263" s="76" t="e">
        <f>IF(BG263="","",VLOOKUP(BG263,S4:U53,3,0))</f>
        <v>#VALUE!</v>
      </c>
      <c r="BI263" s="8" t="str">
        <f t="shared" si="216"/>
        <v/>
      </c>
      <c r="BP263" s="71" t="e">
        <f t="shared" si="202"/>
        <v>#VALUE!</v>
      </c>
      <c r="BQ263" s="71" t="str">
        <f>IF(OR(COUNTBLANK(BT263)=1,ISERROR(BT263)),"",COUNT(BT4:BT263))</f>
        <v/>
      </c>
      <c r="BR263" s="7" t="e">
        <f t="shared" si="218"/>
        <v>#VALUE!</v>
      </c>
      <c r="BS263" s="1" t="str">
        <f t="shared" si="219"/>
        <v/>
      </c>
      <c r="BT263" s="79" t="e">
        <f>IF(IF(COUNTIF($BT$4:BT262,BT262)&gt;=MAX($D$4:$D$8),BT262+1,BT262)&gt;55,"",IF(COUNTIF($BT$4:BT262,BT262)&gt;=MAX($D$4:$D$8),BT262+1,BT262))</f>
        <v>#VALUE!</v>
      </c>
      <c r="BU263" s="1" t="e">
        <f t="shared" si="220"/>
        <v>#VALUE!</v>
      </c>
      <c r="BV263" s="8" t="str">
        <f t="shared" si="221"/>
        <v/>
      </c>
      <c r="BX263" s="71" t="e">
        <f t="shared" si="222"/>
        <v>#VALUE!</v>
      </c>
      <c r="BY263" s="71" t="str">
        <f>IF(OR(COUNTBLANK(CB263)=1,ISERROR(CB263)),"",COUNT($CB$4:CB263))</f>
        <v/>
      </c>
      <c r="BZ263" s="7" t="e">
        <f t="shared" si="223"/>
        <v>#VALUE!</v>
      </c>
      <c r="CA263" s="1" t="str">
        <f t="shared" si="224"/>
        <v/>
      </c>
      <c r="CB263" s="79" t="e">
        <f>IF(IF(COUNTIF($CB$4:CB262,CB261)&gt;=MAX($D$4:$D$8),CB261+2,CB261)&gt;55,"",IF(COUNTIF($CB$4:CB262,CB261)&gt;=MAX($D$4:$D$8),CB261+2,CB261))</f>
        <v>#VALUE!</v>
      </c>
      <c r="CC263" s="1" t="e">
        <f t="shared" si="225"/>
        <v>#VALUE!</v>
      </c>
      <c r="CD263" s="8" t="str">
        <f t="shared" si="226"/>
        <v/>
      </c>
      <c r="CF263" s="71" t="e">
        <f t="shared" si="193"/>
        <v>#VALUE!</v>
      </c>
      <c r="CG263" s="71" t="str">
        <f>IF(OR(COUNTBLANK(CJ263)=1,ISERROR(CJ263)),"",COUNT($CJ$4:CJ263))</f>
        <v/>
      </c>
      <c r="CH263" s="7" t="e">
        <f t="shared" si="194"/>
        <v>#VALUE!</v>
      </c>
      <c r="CI263" s="1" t="str">
        <f t="shared" si="195"/>
        <v/>
      </c>
      <c r="CJ263" s="79" t="e">
        <f>IF(IF(COUNTIF($CJ$4:CJ262,CJ260)&gt;=MAX($D$4:$D$8),CJ260+3,CJ260)&gt;55,"",IF(COUNTIF($CJ$4:CJ262,CJ260)&gt;=MAX($D$4:$D$8),CJ260+3,CJ260))</f>
        <v>#VALUE!</v>
      </c>
      <c r="CK263" s="1" t="e">
        <f t="shared" si="227"/>
        <v>#VALUE!</v>
      </c>
      <c r="CL263" s="8" t="str">
        <f t="shared" si="196"/>
        <v/>
      </c>
      <c r="CN263" s="71" t="e">
        <f t="shared" si="187"/>
        <v>#VALUE!</v>
      </c>
      <c r="CO263" s="71" t="str">
        <f>IF(OR(COUNTBLANK(CR263)=1,ISERROR(CR263)),"",COUNT($CR$4:CR263))</f>
        <v/>
      </c>
      <c r="CP263" s="7" t="e">
        <f t="shared" si="188"/>
        <v>#VALUE!</v>
      </c>
      <c r="CQ263" s="1" t="str">
        <f t="shared" si="189"/>
        <v/>
      </c>
      <c r="CR263" s="79" t="e">
        <f>IF(IF(COUNTIF($CR$4:CR262,CR259)&gt;=MAX($D$4:$D$8),CR259+4,CR259)&gt;55,"",IF(COUNTIF($CR$4:CR262,CR259)&gt;=MAX($D$4:$D$8),CR259+4,CR259))</f>
        <v>#VALUE!</v>
      </c>
      <c r="CS263" s="1" t="e">
        <f t="shared" si="228"/>
        <v>#VALUE!</v>
      </c>
      <c r="CT263" s="8" t="str">
        <f t="shared" si="190"/>
        <v/>
      </c>
      <c r="CV263" s="71" t="e">
        <f t="shared" si="197"/>
        <v>#VALUE!</v>
      </c>
      <c r="CW263" s="71" t="str">
        <f>IF(OR(COUNTBLANK(CZ263)=1,ISERROR(CZ263)),"",COUNT($CZ$4:CZ263))</f>
        <v/>
      </c>
      <c r="CX263" s="7" t="e">
        <f t="shared" si="198"/>
        <v>#VALUE!</v>
      </c>
      <c r="CY263" s="1" t="str">
        <f t="shared" si="199"/>
        <v/>
      </c>
      <c r="CZ263" s="79" t="e">
        <f>IF(IF(COUNTIF($CZ$4:CZ262,CZ258)&gt;=MAX($D$4:$D$8),CZ258+5,CZ258)&gt;55,"",IF(COUNTIF($CZ$4:CZ262,CZ258)&gt;=MAX($D$4:$D$8),CZ258+5,CZ258))</f>
        <v>#VALUE!</v>
      </c>
      <c r="DA263" s="1" t="e">
        <f t="shared" si="229"/>
        <v>#VALUE!</v>
      </c>
      <c r="DB263" s="8" t="str">
        <f t="shared" si="200"/>
        <v/>
      </c>
    </row>
    <row r="264" spans="5:106" x14ac:dyDescent="0.15">
      <c r="E264" s="1">
        <v>261</v>
      </c>
      <c r="F264" s="1">
        <f t="shared" si="230"/>
        <v>1</v>
      </c>
      <c r="G264" s="1">
        <f t="shared" si="191"/>
        <v>1</v>
      </c>
      <c r="H264" s="1">
        <f t="shared" ref="H264:H278" si="231">IF(H261+1&gt;MAX($D$4:$D$8),1,H261+1)</f>
        <v>1</v>
      </c>
      <c r="I264" s="1">
        <f t="shared" si="186"/>
        <v>1</v>
      </c>
      <c r="J264" s="1">
        <f t="shared" si="192"/>
        <v>1</v>
      </c>
      <c r="W264" s="71" t="e">
        <f t="shared" si="201"/>
        <v>#VALUE!</v>
      </c>
      <c r="X264" s="71" t="str">
        <f>IF(OR(COUNTBLANK(AA264)=1,ISERROR(AA264)),"",COUNT(AA4:AA264))</f>
        <v/>
      </c>
      <c r="Y264" s="7" t="e">
        <f t="shared" si="203"/>
        <v>#VALUE!</v>
      </c>
      <c r="Z264" s="1" t="str">
        <f t="shared" si="217"/>
        <v/>
      </c>
      <c r="AA264" s="79" t="e">
        <f>IF(IF(COUNTIF(AA4:AA263,AA263)&gt;=MAX(D4:D8),AA263+1,AA263)&gt;50,"",IF(COUNTIF(AA4:AA263,AA263)&gt;=MAX(D4:D8),AA263+1,AA263))</f>
        <v>#VALUE!</v>
      </c>
      <c r="AB264" s="1" t="e">
        <f>IF(AA264="","",VLOOKUP(AA264,S4:U53,3,0))</f>
        <v>#VALUE!</v>
      </c>
      <c r="AC264" s="8" t="str">
        <f t="shared" si="204"/>
        <v/>
      </c>
      <c r="AE264" s="71" t="e">
        <f t="shared" si="205"/>
        <v>#VALUE!</v>
      </c>
      <c r="AF264" s="71" t="str">
        <f>IF(OR(COUNTBLANK(AI264)=1,ISERROR(AI264)),"",COUNT(AI4:AI264))</f>
        <v/>
      </c>
      <c r="AG264" s="7" t="e">
        <f t="shared" si="206"/>
        <v>#VALUE!</v>
      </c>
      <c r="AH264" s="1" t="str">
        <f>IF(ISERROR(INDEX(C4:C8,MATCH(G264,D4:D8,0))),"",INDEX(C4:C8,MATCH(G264,D4:D8,0)))</f>
        <v/>
      </c>
      <c r="AI264" s="79" t="e">
        <f>IF(IF(COUNTIF(AI4:AI262,AI262)&gt;=MAX(D4:D8),AI262+2,AI262)&gt;50,"",IF(COUNTIF(AI4:AI262,AI262)&gt;=MAX(D4:D8),AI262+2,AI262))</f>
        <v>#VALUE!</v>
      </c>
      <c r="AJ264" s="1" t="e">
        <f>IF(AI264="","",VLOOKUP(AI264,S4:U53,3,0))</f>
        <v>#VALUE!</v>
      </c>
      <c r="AK264" s="8" t="str">
        <f t="shared" si="207"/>
        <v/>
      </c>
      <c r="AM264" s="71" t="e">
        <f t="shared" si="208"/>
        <v>#VALUE!</v>
      </c>
      <c r="AN264" s="71" t="str">
        <f>IF(OR(COUNTBLANK(AQ264)=1,ISERROR(AQ264)),"",COUNT(AQ4:AQ264))</f>
        <v/>
      </c>
      <c r="AO264" s="7" t="e">
        <f t="shared" si="209"/>
        <v>#VALUE!</v>
      </c>
      <c r="AP264" s="1" t="str">
        <f>IF(ISERROR(INDEX(C4:C8,MATCH(H264,D4:D8,0))),"",INDEX(C4:C8,MATCH(H264,D4:D8,0)))</f>
        <v/>
      </c>
      <c r="AQ264" s="79" t="e">
        <f>IF(IF(COUNTIF(AQ4:AQ263,AQ261)&gt;=MAX(D4:D8),AQ261+3,AQ261)&gt;50,"",IF(COUNTIF(AQ4:AQ263,AQ261)&gt;=MAX(D4:D8),AQ261+3,AQ261))</f>
        <v>#VALUE!</v>
      </c>
      <c r="AR264" s="1" t="e">
        <f>IF(AQ264="","",VLOOKUP(AQ264,S4:U53,3,0))</f>
        <v>#VALUE!</v>
      </c>
      <c r="AS264" s="8" t="str">
        <f t="shared" si="210"/>
        <v/>
      </c>
      <c r="AU264" s="71" t="e">
        <f t="shared" si="211"/>
        <v>#VALUE!</v>
      </c>
      <c r="AV264" s="71" t="str">
        <f>IF(OR(COUNTBLANK(AY264)=1,ISERROR(AY264)),"",COUNT(AY4:AY264))</f>
        <v/>
      </c>
      <c r="AW264" s="7" t="e">
        <f t="shared" si="212"/>
        <v>#VALUE!</v>
      </c>
      <c r="AX264" s="1" t="str">
        <f>IF(ISERROR(INDEX(C4:C8,MATCH(I264,D4:D8,0))),"",INDEX(C4:C8,MATCH(I264,D4:D8,0)))</f>
        <v/>
      </c>
      <c r="AY264" s="79" t="e">
        <f>IF(IF(COUNTIF(AY4:AY263,AY260)&gt;=MAX(D4:D8),AY260+4,AY260)&gt;50,"",IF(COUNTIF(AY4:AY263,AY260)&gt;=MAX(D4:D8),AY260+4,AY260))</f>
        <v>#VALUE!</v>
      </c>
      <c r="AZ264" s="76" t="e">
        <f>IF(AY264="","",VLOOKUP(AY264,S4:U53,3,0))</f>
        <v>#VALUE!</v>
      </c>
      <c r="BA264" s="8" t="str">
        <f t="shared" si="213"/>
        <v/>
      </c>
      <c r="BC264" s="71" t="e">
        <f t="shared" si="214"/>
        <v>#VALUE!</v>
      </c>
      <c r="BD264" s="71" t="str">
        <f>IF(OR(COUNTBLANK(BG264)=1,ISERROR(BG264)),"",COUNT(BG4:BG264))</f>
        <v/>
      </c>
      <c r="BE264" s="7" t="e">
        <f t="shared" si="215"/>
        <v>#VALUE!</v>
      </c>
      <c r="BF264" s="1" t="str">
        <f>IF(ISERROR(INDEX(C4:C8,MATCH(J264,D4:D8,0))),"",INDEX(C4:C8,MATCH(J264,D4:D8,0)))</f>
        <v/>
      </c>
      <c r="BG264" s="79" t="e">
        <f>IF(IF(COUNTIF(BG4:BG263,BG259)&gt;=MAX(D4:D8),BG259+5,BG259)&gt;50,"",IF(COUNTIF(BG4:BG263,BG259)&gt;=MAX(D4:D8),BG259+5,BG259))</f>
        <v>#VALUE!</v>
      </c>
      <c r="BH264" s="76" t="e">
        <f>IF(BG264="","",VLOOKUP(BG264,S4:U53,3,0))</f>
        <v>#VALUE!</v>
      </c>
      <c r="BI264" s="8" t="str">
        <f t="shared" si="216"/>
        <v/>
      </c>
      <c r="BP264" s="71" t="e">
        <f t="shared" si="202"/>
        <v>#VALUE!</v>
      </c>
      <c r="BQ264" s="71" t="str">
        <f>IF(OR(COUNTBLANK(BT264)=1,ISERROR(BT264)),"",COUNT(BT4:BT264))</f>
        <v/>
      </c>
      <c r="BR264" s="7" t="e">
        <f t="shared" si="218"/>
        <v>#VALUE!</v>
      </c>
      <c r="BS264" s="1" t="str">
        <f t="shared" si="219"/>
        <v/>
      </c>
      <c r="BT264" s="79" t="e">
        <f>IF(IF(COUNTIF($BT$4:BT263,BT263)&gt;=MAX($D$4:$D$8),BT263+1,BT263)&gt;55,"",IF(COUNTIF($BT$4:BT263,BT263)&gt;=MAX($D$4:$D$8),BT263+1,BT263))</f>
        <v>#VALUE!</v>
      </c>
      <c r="BU264" s="1" t="e">
        <f t="shared" si="220"/>
        <v>#VALUE!</v>
      </c>
      <c r="BV264" s="8" t="str">
        <f t="shared" si="221"/>
        <v/>
      </c>
      <c r="BX264" s="71" t="e">
        <f t="shared" si="222"/>
        <v>#VALUE!</v>
      </c>
      <c r="BY264" s="71" t="str">
        <f>IF(OR(COUNTBLANK(CB264)=1,ISERROR(CB264)),"",COUNT($CB$4:CB264))</f>
        <v/>
      </c>
      <c r="BZ264" s="7" t="e">
        <f t="shared" si="223"/>
        <v>#VALUE!</v>
      </c>
      <c r="CA264" s="1" t="str">
        <f t="shared" si="224"/>
        <v/>
      </c>
      <c r="CB264" s="79" t="e">
        <f>IF(IF(COUNTIF($CB$4:CB263,CB262)&gt;=MAX($D$4:$D$8),CB262+2,CB262)&gt;55,"",IF(COUNTIF($CB$4:CB263,CB262)&gt;=MAX($D$4:$D$8),CB262+2,CB262))</f>
        <v>#VALUE!</v>
      </c>
      <c r="CC264" s="1" t="e">
        <f t="shared" si="225"/>
        <v>#VALUE!</v>
      </c>
      <c r="CD264" s="8" t="str">
        <f t="shared" si="226"/>
        <v/>
      </c>
      <c r="CF264" s="71" t="e">
        <f t="shared" si="193"/>
        <v>#VALUE!</v>
      </c>
      <c r="CG264" s="71" t="str">
        <f>IF(OR(COUNTBLANK(CJ264)=1,ISERROR(CJ264)),"",COUNT($CJ$4:CJ264))</f>
        <v/>
      </c>
      <c r="CH264" s="7" t="e">
        <f t="shared" si="194"/>
        <v>#VALUE!</v>
      </c>
      <c r="CI264" s="1" t="str">
        <f t="shared" si="195"/>
        <v/>
      </c>
      <c r="CJ264" s="79" t="e">
        <f>IF(IF(COUNTIF($CJ$4:CJ263,CJ261)&gt;=MAX($D$4:$D$8),CJ261+3,CJ261)&gt;55,"",IF(COUNTIF($CJ$4:CJ263,CJ261)&gt;=MAX($D$4:$D$8),CJ261+3,CJ261))</f>
        <v>#VALUE!</v>
      </c>
      <c r="CK264" s="1" t="e">
        <f t="shared" si="227"/>
        <v>#VALUE!</v>
      </c>
      <c r="CL264" s="8" t="str">
        <f t="shared" si="196"/>
        <v/>
      </c>
      <c r="CN264" s="71" t="e">
        <f t="shared" si="187"/>
        <v>#VALUE!</v>
      </c>
      <c r="CO264" s="71" t="str">
        <f>IF(OR(COUNTBLANK(CR264)=1,ISERROR(CR264)),"",COUNT($CR$4:CR264))</f>
        <v/>
      </c>
      <c r="CP264" s="7" t="e">
        <f t="shared" si="188"/>
        <v>#VALUE!</v>
      </c>
      <c r="CQ264" s="1" t="str">
        <f t="shared" si="189"/>
        <v/>
      </c>
      <c r="CR264" s="79" t="e">
        <f>IF(IF(COUNTIF($CR$4:CR263,CR260)&gt;=MAX($D$4:$D$8),CR260+4,CR260)&gt;55,"",IF(COUNTIF($CR$4:CR263,CR260)&gt;=MAX($D$4:$D$8),CR260+4,CR260))</f>
        <v>#VALUE!</v>
      </c>
      <c r="CS264" s="1" t="e">
        <f t="shared" si="228"/>
        <v>#VALUE!</v>
      </c>
      <c r="CT264" s="8" t="str">
        <f t="shared" si="190"/>
        <v/>
      </c>
      <c r="CV264" s="71" t="e">
        <f t="shared" si="197"/>
        <v>#VALUE!</v>
      </c>
      <c r="CW264" s="71" t="str">
        <f>IF(OR(COUNTBLANK(CZ264)=1,ISERROR(CZ264)),"",COUNT($CZ$4:CZ264))</f>
        <v/>
      </c>
      <c r="CX264" s="7" t="e">
        <f t="shared" si="198"/>
        <v>#VALUE!</v>
      </c>
      <c r="CY264" s="1" t="str">
        <f t="shared" si="199"/>
        <v/>
      </c>
      <c r="CZ264" s="79" t="e">
        <f>IF(IF(COUNTIF($CZ$4:CZ263,CZ259)&gt;=MAX($D$4:$D$8),CZ259+5,CZ259)&gt;55,"",IF(COUNTIF($CZ$4:CZ263,CZ259)&gt;=MAX($D$4:$D$8),CZ259+5,CZ259))</f>
        <v>#VALUE!</v>
      </c>
      <c r="DA264" s="1" t="e">
        <f t="shared" si="229"/>
        <v>#VALUE!</v>
      </c>
      <c r="DB264" s="8" t="str">
        <f t="shared" si="200"/>
        <v/>
      </c>
    </row>
    <row r="265" spans="5:106" x14ac:dyDescent="0.15">
      <c r="E265" s="1">
        <v>262</v>
      </c>
      <c r="F265" s="1">
        <f t="shared" si="230"/>
        <v>1</v>
      </c>
      <c r="G265" s="1">
        <f t="shared" si="191"/>
        <v>1</v>
      </c>
      <c r="H265" s="1">
        <f t="shared" si="231"/>
        <v>1</v>
      </c>
      <c r="I265" s="1">
        <f t="shared" ref="I265:I278" si="232">IF(I261+1&gt;MAX($D$4:$D$8),1,I261+1)</f>
        <v>1</v>
      </c>
      <c r="J265" s="1">
        <f t="shared" si="192"/>
        <v>1</v>
      </c>
      <c r="W265" s="71" t="e">
        <f t="shared" si="201"/>
        <v>#VALUE!</v>
      </c>
      <c r="X265" s="71" t="str">
        <f>IF(OR(COUNTBLANK(AA265)=1,ISERROR(AA265)),"",COUNT(AA4:AA265))</f>
        <v/>
      </c>
      <c r="Y265" s="7" t="e">
        <f t="shared" si="203"/>
        <v>#VALUE!</v>
      </c>
      <c r="Z265" s="1" t="str">
        <f t="shared" si="217"/>
        <v/>
      </c>
      <c r="AA265" s="79" t="e">
        <f>IF(IF(COUNTIF(AA4:AA264,AA264)&gt;=MAX(D4:D8),AA264+1,AA264)&gt;50,"",IF(COUNTIF(AA4:AA264,AA264)&gt;=MAX(D4:D8),AA264+1,AA264))</f>
        <v>#VALUE!</v>
      </c>
      <c r="AB265" s="1" t="e">
        <f>IF(AA265="","",VLOOKUP(AA265,S4:U53,3,0))</f>
        <v>#VALUE!</v>
      </c>
      <c r="AC265" s="8" t="str">
        <f t="shared" si="204"/>
        <v/>
      </c>
      <c r="AE265" s="71" t="e">
        <f t="shared" si="205"/>
        <v>#VALUE!</v>
      </c>
      <c r="AF265" s="71" t="str">
        <f>IF(OR(COUNTBLANK(AI265)=1,ISERROR(AI265)),"",COUNT(AI4:AI265))</f>
        <v/>
      </c>
      <c r="AG265" s="7" t="e">
        <f t="shared" si="206"/>
        <v>#VALUE!</v>
      </c>
      <c r="AH265" s="1" t="str">
        <f>IF(ISERROR(INDEX(C4:C8,MATCH(G265,D4:D8,0))),"",INDEX(C4:C8,MATCH(G265,D4:D8,0)))</f>
        <v/>
      </c>
      <c r="AI265" s="79" t="e">
        <f>IF(IF(COUNTIF(AI4:AI263,AI263)&gt;=MAX(D4:D8),AI263+2,AI263)&gt;50,"",IF(COUNTIF(AI4:AI263,AI263)&gt;=MAX(D4:D8),AI263+2,AI263))</f>
        <v>#VALUE!</v>
      </c>
      <c r="AJ265" s="1" t="e">
        <f>IF(AI265="","",VLOOKUP(AI265,S4:U53,3,0))</f>
        <v>#VALUE!</v>
      </c>
      <c r="AK265" s="8" t="str">
        <f t="shared" si="207"/>
        <v/>
      </c>
      <c r="AM265" s="71" t="e">
        <f t="shared" si="208"/>
        <v>#VALUE!</v>
      </c>
      <c r="AN265" s="71" t="str">
        <f>IF(OR(COUNTBLANK(AQ265)=1,ISERROR(AQ265)),"",COUNT(AQ4:AQ265))</f>
        <v/>
      </c>
      <c r="AO265" s="7" t="e">
        <f t="shared" si="209"/>
        <v>#VALUE!</v>
      </c>
      <c r="AP265" s="1" t="str">
        <f>IF(ISERROR(INDEX(C4:C8,MATCH(H265,D4:D8,0))),"",INDEX(C4:C8,MATCH(H265,D4:D8,0)))</f>
        <v/>
      </c>
      <c r="AQ265" s="79" t="e">
        <f>IF(IF(COUNTIF(AQ4:AQ264,AQ262)&gt;=MAX(D4:D8),AQ262+3,AQ262)&gt;50,"",IF(COUNTIF(AQ4:AQ264,AQ262)&gt;=MAX(D4:D8),AQ262+3,AQ262))</f>
        <v>#VALUE!</v>
      </c>
      <c r="AR265" s="1" t="e">
        <f>IF(AQ265="","",VLOOKUP(AQ265,S4:U53,3,0))</f>
        <v>#VALUE!</v>
      </c>
      <c r="AS265" s="8" t="str">
        <f t="shared" si="210"/>
        <v/>
      </c>
      <c r="AU265" s="71" t="e">
        <f t="shared" si="211"/>
        <v>#VALUE!</v>
      </c>
      <c r="AV265" s="71" t="str">
        <f>IF(OR(COUNTBLANK(AY265)=1,ISERROR(AY265)),"",COUNT(AY4:AY265))</f>
        <v/>
      </c>
      <c r="AW265" s="7" t="e">
        <f t="shared" si="212"/>
        <v>#VALUE!</v>
      </c>
      <c r="AX265" s="1" t="str">
        <f>IF(ISERROR(INDEX(C4:C8,MATCH(I265,D4:D8,0))),"",INDEX(C4:C8,MATCH(I265,D4:D8,0)))</f>
        <v/>
      </c>
      <c r="AY265" s="79" t="e">
        <f>IF(IF(COUNTIF(AY4:AY264,AY261)&gt;=MAX(D4:D8),AY261+4,AY261)&gt;50,"",IF(COUNTIF(AY4:AY264,AY261)&gt;=MAX(D4:D8),AY261+4,AY261))</f>
        <v>#VALUE!</v>
      </c>
      <c r="AZ265" s="76" t="e">
        <f>IF(AY265="","",VLOOKUP(AY265,S4:U53,3,0))</f>
        <v>#VALUE!</v>
      </c>
      <c r="BA265" s="8" t="str">
        <f t="shared" si="213"/>
        <v/>
      </c>
      <c r="BC265" s="71" t="e">
        <f t="shared" si="214"/>
        <v>#VALUE!</v>
      </c>
      <c r="BD265" s="71" t="str">
        <f>IF(OR(COUNTBLANK(BG265)=1,ISERROR(BG265)),"",COUNT(BG4:BG265))</f>
        <v/>
      </c>
      <c r="BE265" s="7" t="e">
        <f t="shared" si="215"/>
        <v>#VALUE!</v>
      </c>
      <c r="BF265" s="1" t="str">
        <f>IF(ISERROR(INDEX(C4:C8,MATCH(J265,D4:D8,0))),"",INDEX(C4:C8,MATCH(J265,D4:D8,0)))</f>
        <v/>
      </c>
      <c r="BG265" s="79" t="e">
        <f>IF(IF(COUNTIF(BG4:BG264,BG260)&gt;=MAX(D4:D8),BG260+5,BG260)&gt;50,"",IF(COUNTIF(BG4:BG264,BG260)&gt;=MAX(D4:D8),BG260+5,BG260))</f>
        <v>#VALUE!</v>
      </c>
      <c r="BH265" s="76" t="e">
        <f>IF(BG265="","",VLOOKUP(BG265,S4:U53,3,0))</f>
        <v>#VALUE!</v>
      </c>
      <c r="BI265" s="8" t="str">
        <f t="shared" si="216"/>
        <v/>
      </c>
      <c r="BP265" s="71" t="e">
        <f t="shared" si="202"/>
        <v>#VALUE!</v>
      </c>
      <c r="BQ265" s="71" t="str">
        <f>IF(OR(COUNTBLANK(BT265)=1,ISERROR(BT265)),"",COUNT(BT4:BT265))</f>
        <v/>
      </c>
      <c r="BR265" s="7" t="e">
        <f t="shared" si="218"/>
        <v>#VALUE!</v>
      </c>
      <c r="BS265" s="1" t="str">
        <f t="shared" si="219"/>
        <v/>
      </c>
      <c r="BT265" s="79" t="e">
        <f>IF(IF(COUNTIF($BT$4:BT264,BT264)&gt;=MAX($D$4:$D$8),BT264+1,BT264)&gt;55,"",IF(COUNTIF($BT$4:BT264,BT264)&gt;=MAX($D$4:$D$8),BT264+1,BT264))</f>
        <v>#VALUE!</v>
      </c>
      <c r="BU265" s="1" t="e">
        <f t="shared" si="220"/>
        <v>#VALUE!</v>
      </c>
      <c r="BV265" s="8" t="str">
        <f t="shared" si="221"/>
        <v/>
      </c>
      <c r="BX265" s="71" t="e">
        <f t="shared" si="222"/>
        <v>#VALUE!</v>
      </c>
      <c r="BY265" s="71" t="str">
        <f>IF(OR(COUNTBLANK(CB265)=1,ISERROR(CB265)),"",COUNT($CB$4:CB265))</f>
        <v/>
      </c>
      <c r="BZ265" s="7" t="e">
        <f t="shared" si="223"/>
        <v>#VALUE!</v>
      </c>
      <c r="CA265" s="1" t="str">
        <f t="shared" si="224"/>
        <v/>
      </c>
      <c r="CB265" s="79" t="e">
        <f>IF(IF(COUNTIF($CB$4:CB264,CB263)&gt;=MAX($D$4:$D$8),CB263+2,CB263)&gt;55,"",IF(COUNTIF($CB$4:CB264,CB263)&gt;=MAX($D$4:$D$8),CB263+2,CB263))</f>
        <v>#VALUE!</v>
      </c>
      <c r="CC265" s="1" t="e">
        <f t="shared" si="225"/>
        <v>#VALUE!</v>
      </c>
      <c r="CD265" s="8" t="str">
        <f t="shared" si="226"/>
        <v/>
      </c>
      <c r="CF265" s="71" t="e">
        <f t="shared" si="193"/>
        <v>#VALUE!</v>
      </c>
      <c r="CG265" s="71" t="str">
        <f>IF(OR(COUNTBLANK(CJ265)=1,ISERROR(CJ265)),"",COUNT($CJ$4:CJ265))</f>
        <v/>
      </c>
      <c r="CH265" s="7" t="e">
        <f t="shared" si="194"/>
        <v>#VALUE!</v>
      </c>
      <c r="CI265" s="1" t="str">
        <f t="shared" si="195"/>
        <v/>
      </c>
      <c r="CJ265" s="79" t="e">
        <f>IF(IF(COUNTIF($CJ$4:CJ264,CJ262)&gt;=MAX($D$4:$D$8),CJ262+3,CJ262)&gt;55,"",IF(COUNTIF($CJ$4:CJ264,CJ262)&gt;=MAX($D$4:$D$8),CJ262+3,CJ262))</f>
        <v>#VALUE!</v>
      </c>
      <c r="CK265" s="1" t="e">
        <f t="shared" si="227"/>
        <v>#VALUE!</v>
      </c>
      <c r="CL265" s="8" t="str">
        <f t="shared" si="196"/>
        <v/>
      </c>
      <c r="CN265" s="71" t="e">
        <f t="shared" ref="CN265:CN278" si="233">IF(CR265="","",CR265*10+I265)</f>
        <v>#VALUE!</v>
      </c>
      <c r="CO265" s="71" t="str">
        <f>IF(OR(COUNTBLANK(CR265)=1,ISERROR(CR265)),"",COUNT($CR$4:CR265))</f>
        <v/>
      </c>
      <c r="CP265" s="7" t="e">
        <f t="shared" ref="CP265:CP278" si="234">IF(CR265&gt;25,"ナビ・","1・2年のWナビ・")</f>
        <v>#VALUE!</v>
      </c>
      <c r="CQ265" s="1" t="str">
        <f t="shared" ref="CQ265:CQ278" si="235">IF(ISERROR(INDEX($C$4:$C$8,MATCH(I265,$D$4:$D$8,0))),"",INDEX($C$4:$C$8,MATCH(I265,$D$4:$D$8,0)))</f>
        <v/>
      </c>
      <c r="CR265" s="79" t="e">
        <f>IF(IF(COUNTIF($CR$4:CR264,CR261)&gt;=MAX($D$4:$D$8),CR261+4,CR261)&gt;55,"",IF(COUNTIF($CR$4:CR264,CR261)&gt;=MAX($D$4:$D$8),CR261+4,CR261))</f>
        <v>#VALUE!</v>
      </c>
      <c r="CS265" s="1" t="e">
        <f t="shared" si="228"/>
        <v>#VALUE!</v>
      </c>
      <c r="CT265" s="8" t="str">
        <f t="shared" ref="CT265:CT278" si="236">IF(ISERROR(IF(COUNTIF(CQ265:CS265,"")&gt;=1,"",CP265&amp;CQ265&amp;"【"&amp;VLOOKUP(CR265,$BL$4:$BN$58,2,0)&amp;"】"&amp;CS265)),"",IF(COUNTIF(CQ265:CS265,"")&gt;=1,"",CP265&amp;CQ265&amp;"【"&amp;VLOOKUP(CR265,$BL$4:$BN$58,2,0)&amp;"】"&amp;CS265))</f>
        <v/>
      </c>
      <c r="CV265" s="71" t="e">
        <f t="shared" si="197"/>
        <v>#VALUE!</v>
      </c>
      <c r="CW265" s="71" t="str">
        <f>IF(OR(COUNTBLANK(CZ265)=1,ISERROR(CZ265)),"",COUNT($CZ$4:CZ265))</f>
        <v/>
      </c>
      <c r="CX265" s="7" t="e">
        <f t="shared" si="198"/>
        <v>#VALUE!</v>
      </c>
      <c r="CY265" s="1" t="str">
        <f t="shared" si="199"/>
        <v/>
      </c>
      <c r="CZ265" s="79" t="e">
        <f>IF(IF(COUNTIF($CZ$4:CZ264,CZ260)&gt;=MAX($D$4:$D$8),CZ260+5,CZ260)&gt;55,"",IF(COUNTIF($CZ$4:CZ264,CZ260)&gt;=MAX($D$4:$D$8),CZ260+5,CZ260))</f>
        <v>#VALUE!</v>
      </c>
      <c r="DA265" s="1" t="e">
        <f t="shared" si="229"/>
        <v>#VALUE!</v>
      </c>
      <c r="DB265" s="8" t="str">
        <f t="shared" si="200"/>
        <v/>
      </c>
    </row>
    <row r="266" spans="5:106" x14ac:dyDescent="0.15">
      <c r="E266" s="1">
        <v>263</v>
      </c>
      <c r="F266" s="1">
        <f t="shared" si="230"/>
        <v>1</v>
      </c>
      <c r="G266" s="1">
        <f t="shared" ref="G266:G278" si="237">IF(G264+1&gt;MAX($D$4:$D$8),1,G264+1)</f>
        <v>1</v>
      </c>
      <c r="H266" s="1">
        <f t="shared" si="231"/>
        <v>1</v>
      </c>
      <c r="I266" s="1">
        <f t="shared" si="232"/>
        <v>1</v>
      </c>
      <c r="J266" s="1">
        <f t="shared" ref="J266:J278" si="238">IF(J261+1&gt;MAX($D$4:$D$8),1,J261+1)</f>
        <v>1</v>
      </c>
      <c r="W266" s="71" t="e">
        <f t="shared" si="201"/>
        <v>#VALUE!</v>
      </c>
      <c r="X266" s="71" t="str">
        <f>IF(OR(COUNTBLANK(AA266)=1,ISERROR(AA266)),"",COUNT(AA4:AA266))</f>
        <v/>
      </c>
      <c r="Y266" s="7" t="e">
        <f t="shared" si="203"/>
        <v>#VALUE!</v>
      </c>
      <c r="Z266" s="1" t="str">
        <f t="shared" si="217"/>
        <v/>
      </c>
      <c r="AA266" s="79" t="e">
        <f>IF(IF(COUNTIF(AA4:AA265,AA265)&gt;=MAX(D4:D8),AA265+1,AA265)&gt;50,"",IF(COUNTIF(AA4:AA265,AA265)&gt;=MAX(D4:D8),AA265+1,AA265))</f>
        <v>#VALUE!</v>
      </c>
      <c r="AB266" s="1" t="e">
        <f>IF(AA266="","",VLOOKUP(AA266,S4:U53,3,0))</f>
        <v>#VALUE!</v>
      </c>
      <c r="AC266" s="8" t="str">
        <f t="shared" si="204"/>
        <v/>
      </c>
      <c r="AE266" s="71" t="e">
        <f t="shared" si="205"/>
        <v>#VALUE!</v>
      </c>
      <c r="AF266" s="71" t="str">
        <f>IF(OR(COUNTBLANK(AI266)=1,ISERROR(AI266)),"",COUNT(AI4:AI266))</f>
        <v/>
      </c>
      <c r="AG266" s="7" t="e">
        <f t="shared" si="206"/>
        <v>#VALUE!</v>
      </c>
      <c r="AH266" s="1" t="str">
        <f>IF(ISERROR(INDEX(C4:C8,MATCH(G266,D4:D8,0))),"",INDEX(C4:C8,MATCH(G266,D4:D8,0)))</f>
        <v/>
      </c>
      <c r="AI266" s="79" t="e">
        <f>IF(IF(COUNTIF(AI4:AI264,AI264)&gt;=MAX(D4:D8),AI264+2,AI264)&gt;50,"",IF(COUNTIF(AI4:AI264,AI264)&gt;=MAX(D4:D8),AI264+2,AI264))</f>
        <v>#VALUE!</v>
      </c>
      <c r="AJ266" s="1" t="e">
        <f>IF(AI266="","",VLOOKUP(AI266,S4:U53,3,0))</f>
        <v>#VALUE!</v>
      </c>
      <c r="AK266" s="8" t="str">
        <f t="shared" si="207"/>
        <v/>
      </c>
      <c r="AM266" s="71" t="e">
        <f t="shared" si="208"/>
        <v>#VALUE!</v>
      </c>
      <c r="AN266" s="71" t="str">
        <f>IF(OR(COUNTBLANK(AQ266)=1,ISERROR(AQ266)),"",COUNT(AQ4:AQ266))</f>
        <v/>
      </c>
      <c r="AO266" s="7" t="e">
        <f t="shared" si="209"/>
        <v>#VALUE!</v>
      </c>
      <c r="AP266" s="1" t="str">
        <f>IF(ISERROR(INDEX(C4:C8,MATCH(H266,D4:D8,0))),"",INDEX(C4:C8,MATCH(H266,D4:D8,0)))</f>
        <v/>
      </c>
      <c r="AQ266" s="79" t="e">
        <f>IF(IF(COUNTIF(AQ4:AQ265,AQ263)&gt;=MAX(D4:D8),AQ263+3,AQ263)&gt;50,"",IF(COUNTIF(AQ4:AQ265,AQ263)&gt;=MAX(D4:D8),AQ263+3,AQ263))</f>
        <v>#VALUE!</v>
      </c>
      <c r="AR266" s="1" t="e">
        <f>IF(AQ266="","",VLOOKUP(AQ266,S4:U53,3,0))</f>
        <v>#VALUE!</v>
      </c>
      <c r="AS266" s="8" t="str">
        <f t="shared" si="210"/>
        <v/>
      </c>
      <c r="AU266" s="71" t="e">
        <f t="shared" si="211"/>
        <v>#VALUE!</v>
      </c>
      <c r="AV266" s="71" t="str">
        <f>IF(OR(COUNTBLANK(AY266)=1,ISERROR(AY266)),"",COUNT(AY4:AY266))</f>
        <v/>
      </c>
      <c r="AW266" s="7" t="e">
        <f t="shared" si="212"/>
        <v>#VALUE!</v>
      </c>
      <c r="AX266" s="1" t="str">
        <f>IF(ISERROR(INDEX(C4:C8,MATCH(I266,D4:D8,0))),"",INDEX(C4:C8,MATCH(I266,D4:D8,0)))</f>
        <v/>
      </c>
      <c r="AY266" s="79" t="e">
        <f>IF(IF(COUNTIF(AY4:AY265,AY262)&gt;=MAX(D4:D8),AY262+4,AY262)&gt;50,"",IF(COUNTIF(AY4:AY265,AY262)&gt;=MAX(D4:D8),AY262+4,AY262))</f>
        <v>#VALUE!</v>
      </c>
      <c r="AZ266" s="76" t="e">
        <f>IF(AY266="","",VLOOKUP(AY266,S4:U53,3,0))</f>
        <v>#VALUE!</v>
      </c>
      <c r="BA266" s="8" t="str">
        <f t="shared" si="213"/>
        <v/>
      </c>
      <c r="BC266" s="71" t="e">
        <f t="shared" si="214"/>
        <v>#VALUE!</v>
      </c>
      <c r="BD266" s="71" t="str">
        <f>IF(OR(COUNTBLANK(BG266)=1,ISERROR(BG266)),"",COUNT(BG4:BG266))</f>
        <v/>
      </c>
      <c r="BE266" s="7" t="e">
        <f t="shared" si="215"/>
        <v>#VALUE!</v>
      </c>
      <c r="BF266" s="1" t="str">
        <f>IF(ISERROR(INDEX(C4:C8,MATCH(J266,D4:D8,0))),"",INDEX(C4:C8,MATCH(J266,D4:D8,0)))</f>
        <v/>
      </c>
      <c r="BG266" s="79" t="e">
        <f>IF(IF(COUNTIF(BG4:BG265,BG261)&gt;=MAX(D4:D8),BG261+5,BG261)&gt;50,"",IF(COUNTIF(BG4:BG265,BG261)&gt;=MAX(D4:D8),BG261+5,BG261))</f>
        <v>#VALUE!</v>
      </c>
      <c r="BH266" s="76" t="e">
        <f>IF(BG266="","",VLOOKUP(BG266,S4:U53,3,0))</f>
        <v>#VALUE!</v>
      </c>
      <c r="BI266" s="8" t="str">
        <f t="shared" si="216"/>
        <v/>
      </c>
      <c r="BP266" s="71" t="e">
        <f t="shared" si="202"/>
        <v>#VALUE!</v>
      </c>
      <c r="BQ266" s="71" t="str">
        <f>IF(OR(COUNTBLANK(BT266)=1,ISERROR(BT266)),"",COUNT(BT4:BT266))</f>
        <v/>
      </c>
      <c r="BR266" s="7" t="e">
        <f t="shared" si="218"/>
        <v>#VALUE!</v>
      </c>
      <c r="BS266" s="1" t="str">
        <f t="shared" si="219"/>
        <v/>
      </c>
      <c r="BT266" s="79" t="e">
        <f>IF(IF(COUNTIF($BT$4:BT265,BT265)&gt;=MAX($D$4:$D$8),BT265+1,BT265)&gt;55,"",IF(COUNTIF($BT$4:BT265,BT265)&gt;=MAX($D$4:$D$8),BT265+1,BT265))</f>
        <v>#VALUE!</v>
      </c>
      <c r="BU266" s="1" t="e">
        <f t="shared" si="220"/>
        <v>#VALUE!</v>
      </c>
      <c r="BV266" s="8" t="str">
        <f t="shared" si="221"/>
        <v/>
      </c>
      <c r="BX266" s="71" t="e">
        <f t="shared" si="222"/>
        <v>#VALUE!</v>
      </c>
      <c r="BY266" s="71" t="str">
        <f>IF(OR(COUNTBLANK(CB266)=1,ISERROR(CB266)),"",COUNT($CB$4:CB266))</f>
        <v/>
      </c>
      <c r="BZ266" s="7" t="e">
        <f t="shared" si="223"/>
        <v>#VALUE!</v>
      </c>
      <c r="CA266" s="1" t="str">
        <f t="shared" si="224"/>
        <v/>
      </c>
      <c r="CB266" s="79" t="e">
        <f>IF(IF(COUNTIF($CB$4:CB265,CB264)&gt;=MAX($D$4:$D$8),CB264+2,CB264)&gt;55,"",IF(COUNTIF($CB$4:CB265,CB264)&gt;=MAX($D$4:$D$8),CB264+2,CB264))</f>
        <v>#VALUE!</v>
      </c>
      <c r="CC266" s="1" t="e">
        <f t="shared" si="225"/>
        <v>#VALUE!</v>
      </c>
      <c r="CD266" s="8" t="str">
        <f t="shared" si="226"/>
        <v/>
      </c>
      <c r="CF266" s="71" t="e">
        <f t="shared" si="193"/>
        <v>#VALUE!</v>
      </c>
      <c r="CG266" s="71" t="str">
        <f>IF(OR(COUNTBLANK(CJ266)=1,ISERROR(CJ266)),"",COUNT($CJ$4:CJ266))</f>
        <v/>
      </c>
      <c r="CH266" s="7" t="e">
        <f t="shared" si="194"/>
        <v>#VALUE!</v>
      </c>
      <c r="CI266" s="1" t="str">
        <f t="shared" si="195"/>
        <v/>
      </c>
      <c r="CJ266" s="79" t="e">
        <f>IF(IF(COUNTIF($CJ$4:CJ265,CJ263)&gt;=MAX($D$4:$D$8),CJ263+3,CJ263)&gt;55,"",IF(COUNTIF($CJ$4:CJ265,CJ263)&gt;=MAX($D$4:$D$8),CJ263+3,CJ263))</f>
        <v>#VALUE!</v>
      </c>
      <c r="CK266" s="1" t="e">
        <f t="shared" si="227"/>
        <v>#VALUE!</v>
      </c>
      <c r="CL266" s="8" t="str">
        <f t="shared" si="196"/>
        <v/>
      </c>
      <c r="CN266" s="71" t="e">
        <f t="shared" si="233"/>
        <v>#VALUE!</v>
      </c>
      <c r="CO266" s="71" t="str">
        <f>IF(OR(COUNTBLANK(CR266)=1,ISERROR(CR266)),"",COUNT($CR$4:CR266))</f>
        <v/>
      </c>
      <c r="CP266" s="7" t="e">
        <f t="shared" si="234"/>
        <v>#VALUE!</v>
      </c>
      <c r="CQ266" s="1" t="str">
        <f t="shared" si="235"/>
        <v/>
      </c>
      <c r="CR266" s="79" t="e">
        <f>IF(IF(COUNTIF($CR$4:CR265,CR262)&gt;=MAX($D$4:$D$8),CR262+4,CR262)&gt;55,"",IF(COUNTIF($CR$4:CR265,CR262)&gt;=MAX($D$4:$D$8),CR262+4,CR262))</f>
        <v>#VALUE!</v>
      </c>
      <c r="CS266" s="1" t="e">
        <f t="shared" si="228"/>
        <v>#VALUE!</v>
      </c>
      <c r="CT266" s="8" t="str">
        <f t="shared" si="236"/>
        <v/>
      </c>
      <c r="CV266" s="71" t="e">
        <f t="shared" si="197"/>
        <v>#VALUE!</v>
      </c>
      <c r="CW266" s="71" t="str">
        <f>IF(OR(COUNTBLANK(CZ266)=1,ISERROR(CZ266)),"",COUNT($CZ$4:CZ266))</f>
        <v/>
      </c>
      <c r="CX266" s="7" t="e">
        <f t="shared" si="198"/>
        <v>#VALUE!</v>
      </c>
      <c r="CY266" s="1" t="str">
        <f t="shared" si="199"/>
        <v/>
      </c>
      <c r="CZ266" s="79" t="e">
        <f>IF(IF(COUNTIF($CZ$4:CZ265,CZ261)&gt;=MAX($D$4:$D$8),CZ261+5,CZ261)&gt;55,"",IF(COUNTIF($CZ$4:CZ265,CZ261)&gt;=MAX($D$4:$D$8),CZ261+5,CZ261))</f>
        <v>#VALUE!</v>
      </c>
      <c r="DA266" s="1" t="e">
        <f t="shared" si="229"/>
        <v>#VALUE!</v>
      </c>
      <c r="DB266" s="8" t="str">
        <f t="shared" si="200"/>
        <v/>
      </c>
    </row>
    <row r="267" spans="5:106" x14ac:dyDescent="0.15">
      <c r="E267" s="1">
        <v>264</v>
      </c>
      <c r="F267" s="1">
        <f t="shared" si="230"/>
        <v>1</v>
      </c>
      <c r="G267" s="1">
        <f t="shared" si="237"/>
        <v>1</v>
      </c>
      <c r="H267" s="1">
        <f t="shared" si="231"/>
        <v>1</v>
      </c>
      <c r="I267" s="1">
        <f t="shared" si="232"/>
        <v>1</v>
      </c>
      <c r="J267" s="1">
        <f t="shared" si="238"/>
        <v>1</v>
      </c>
      <c r="W267" s="71" t="e">
        <f t="shared" si="201"/>
        <v>#VALUE!</v>
      </c>
      <c r="X267" s="71" t="str">
        <f>IF(OR(COUNTBLANK(AA267)=1,ISERROR(AA267)),"",COUNT(AA4:AA267))</f>
        <v/>
      </c>
      <c r="Y267" s="7" t="e">
        <f t="shared" si="203"/>
        <v>#VALUE!</v>
      </c>
      <c r="Z267" s="1" t="str">
        <f t="shared" si="217"/>
        <v/>
      </c>
      <c r="AA267" s="79" t="e">
        <f>IF(IF(COUNTIF(AA4:AA266,AA266)&gt;=MAX(D4:D8),AA266+1,AA266)&gt;50,"",IF(COUNTIF(AA4:AA266,AA266)&gt;=MAX(D4:D8),AA266+1,AA266))</f>
        <v>#VALUE!</v>
      </c>
      <c r="AB267" s="1" t="e">
        <f>IF(AA267="","",VLOOKUP(AA267,S4:U53,3,0))</f>
        <v>#VALUE!</v>
      </c>
      <c r="AC267" s="8" t="str">
        <f t="shared" si="204"/>
        <v/>
      </c>
      <c r="AE267" s="71" t="e">
        <f t="shared" si="205"/>
        <v>#VALUE!</v>
      </c>
      <c r="AF267" s="71" t="str">
        <f>IF(OR(COUNTBLANK(AI267)=1,ISERROR(AI267)),"",COUNT(AI4:AI267))</f>
        <v/>
      </c>
      <c r="AG267" s="7" t="e">
        <f t="shared" si="206"/>
        <v>#VALUE!</v>
      </c>
      <c r="AH267" s="1" t="str">
        <f>IF(ISERROR(INDEX(C4:C8,MATCH(G267,D4:D8,0))),"",INDEX(C4:C8,MATCH(G267,D4:D8,0)))</f>
        <v/>
      </c>
      <c r="AI267" s="79" t="e">
        <f>IF(IF(COUNTIF(AI4:AI265,AI265)&gt;=MAX(D4:D8),AI265+2,AI265)&gt;50,"",IF(COUNTIF(AI4:AI265,AI265)&gt;=MAX(D4:D8),AI265+2,AI265))</f>
        <v>#VALUE!</v>
      </c>
      <c r="AJ267" s="1" t="e">
        <f>IF(AI267="","",VLOOKUP(AI267,S4:U53,3,0))</f>
        <v>#VALUE!</v>
      </c>
      <c r="AK267" s="8" t="str">
        <f t="shared" si="207"/>
        <v/>
      </c>
      <c r="AM267" s="71" t="e">
        <f t="shared" si="208"/>
        <v>#VALUE!</v>
      </c>
      <c r="AN267" s="71" t="str">
        <f>IF(OR(COUNTBLANK(AQ267)=1,ISERROR(AQ267)),"",COUNT(AQ4:AQ267))</f>
        <v/>
      </c>
      <c r="AO267" s="7" t="e">
        <f t="shared" si="209"/>
        <v>#VALUE!</v>
      </c>
      <c r="AP267" s="1" t="str">
        <f>IF(ISERROR(INDEX(C4:C8,MATCH(H267,D4:D8,0))),"",INDEX(C4:C8,MATCH(H267,D4:D8,0)))</f>
        <v/>
      </c>
      <c r="AQ267" s="79" t="e">
        <f>IF(IF(COUNTIF(AQ4:AQ266,AQ264)&gt;=MAX(D4:D8),AQ264+3,AQ264)&gt;50,"",IF(COUNTIF(AQ4:AQ266,AQ264)&gt;=MAX(D4:D8),AQ264+3,AQ264))</f>
        <v>#VALUE!</v>
      </c>
      <c r="AR267" s="1" t="e">
        <f>IF(AQ267="","",VLOOKUP(AQ267,S4:U53,3,0))</f>
        <v>#VALUE!</v>
      </c>
      <c r="AS267" s="8" t="str">
        <f t="shared" si="210"/>
        <v/>
      </c>
      <c r="AU267" s="71" t="e">
        <f t="shared" si="211"/>
        <v>#VALUE!</v>
      </c>
      <c r="AV267" s="71" t="str">
        <f>IF(OR(COUNTBLANK(AY267)=1,ISERROR(AY267)),"",COUNT(AY4:AY267))</f>
        <v/>
      </c>
      <c r="AW267" s="7" t="e">
        <f t="shared" si="212"/>
        <v>#VALUE!</v>
      </c>
      <c r="AX267" s="1" t="str">
        <f>IF(ISERROR(INDEX(C4:C8,MATCH(I267,D4:D8,0))),"",INDEX(C4:C8,MATCH(I267,D4:D8,0)))</f>
        <v/>
      </c>
      <c r="AY267" s="79" t="e">
        <f>IF(IF(COUNTIF(AY4:AY266,AY263)&gt;=MAX(D4:D8),AY263+4,AY263)&gt;50,"",IF(COUNTIF(AY4:AY266,AY263)&gt;=MAX(D4:D8),AY263+4,AY263))</f>
        <v>#VALUE!</v>
      </c>
      <c r="AZ267" s="76" t="e">
        <f>IF(AY267="","",VLOOKUP(AY267,S4:U53,3,0))</f>
        <v>#VALUE!</v>
      </c>
      <c r="BA267" s="8" t="str">
        <f t="shared" si="213"/>
        <v/>
      </c>
      <c r="BC267" s="71" t="e">
        <f t="shared" si="214"/>
        <v>#VALUE!</v>
      </c>
      <c r="BD267" s="71" t="str">
        <f>IF(OR(COUNTBLANK(BG267)=1,ISERROR(BG267)),"",COUNT(BG4:BG267))</f>
        <v/>
      </c>
      <c r="BE267" s="7" t="e">
        <f t="shared" si="215"/>
        <v>#VALUE!</v>
      </c>
      <c r="BF267" s="1" t="str">
        <f>IF(ISERROR(INDEX(C4:C8,MATCH(J267,D4:D8,0))),"",INDEX(C4:C8,MATCH(J267,D4:D8,0)))</f>
        <v/>
      </c>
      <c r="BG267" s="79" t="e">
        <f>IF(IF(COUNTIF(BG4:BG266,BG262)&gt;=MAX(D4:D8),BG262+5,BG262)&gt;50,"",IF(COUNTIF(BG4:BG266,BG262)&gt;=MAX(D4:D8),BG262+5,BG262))</f>
        <v>#VALUE!</v>
      </c>
      <c r="BH267" s="76" t="e">
        <f>IF(BG267="","",VLOOKUP(BG267,S4:U53,3,0))</f>
        <v>#VALUE!</v>
      </c>
      <c r="BI267" s="8" t="str">
        <f t="shared" si="216"/>
        <v/>
      </c>
      <c r="BP267" s="71" t="e">
        <f t="shared" si="202"/>
        <v>#VALUE!</v>
      </c>
      <c r="BQ267" s="71" t="str">
        <f>IF(OR(COUNTBLANK(BT267)=1,ISERROR(BT267)),"",COUNT(BT4:BT267))</f>
        <v/>
      </c>
      <c r="BR267" s="7" t="e">
        <f t="shared" si="218"/>
        <v>#VALUE!</v>
      </c>
      <c r="BS267" s="1" t="str">
        <f t="shared" si="219"/>
        <v/>
      </c>
      <c r="BT267" s="79" t="e">
        <f>IF(IF(COUNTIF($BT$4:BT266,BT266)&gt;=MAX($D$4:$D$8),BT266+1,BT266)&gt;55,"",IF(COUNTIF($BT$4:BT266,BT266)&gt;=MAX($D$4:$D$8),BT266+1,BT266))</f>
        <v>#VALUE!</v>
      </c>
      <c r="BU267" s="1" t="e">
        <f t="shared" si="220"/>
        <v>#VALUE!</v>
      </c>
      <c r="BV267" s="8" t="str">
        <f t="shared" si="221"/>
        <v/>
      </c>
      <c r="BX267" s="71" t="e">
        <f t="shared" si="222"/>
        <v>#VALUE!</v>
      </c>
      <c r="BY267" s="71" t="str">
        <f>IF(OR(COUNTBLANK(CB267)=1,ISERROR(CB267)),"",COUNT($CB$4:CB267))</f>
        <v/>
      </c>
      <c r="BZ267" s="7" t="e">
        <f t="shared" si="223"/>
        <v>#VALUE!</v>
      </c>
      <c r="CA267" s="1" t="str">
        <f t="shared" si="224"/>
        <v/>
      </c>
      <c r="CB267" s="79" t="e">
        <f>IF(IF(COUNTIF($CB$4:CB266,CB265)&gt;=MAX($D$4:$D$8),CB265+2,CB265)&gt;55,"",IF(COUNTIF($CB$4:CB266,CB265)&gt;=MAX($D$4:$D$8),CB265+2,CB265))</f>
        <v>#VALUE!</v>
      </c>
      <c r="CC267" s="1" t="e">
        <f t="shared" si="225"/>
        <v>#VALUE!</v>
      </c>
      <c r="CD267" s="8" t="str">
        <f t="shared" si="226"/>
        <v/>
      </c>
      <c r="CF267" s="71" t="e">
        <f t="shared" si="193"/>
        <v>#VALUE!</v>
      </c>
      <c r="CG267" s="71" t="str">
        <f>IF(OR(COUNTBLANK(CJ267)=1,ISERROR(CJ267)),"",COUNT($CJ$4:CJ267))</f>
        <v/>
      </c>
      <c r="CH267" s="7" t="e">
        <f t="shared" si="194"/>
        <v>#VALUE!</v>
      </c>
      <c r="CI267" s="1" t="str">
        <f t="shared" si="195"/>
        <v/>
      </c>
      <c r="CJ267" s="79" t="e">
        <f>IF(IF(COUNTIF($CJ$4:CJ266,CJ264)&gt;=MAX($D$4:$D$8),CJ264+3,CJ264)&gt;55,"",IF(COUNTIF($CJ$4:CJ266,CJ264)&gt;=MAX($D$4:$D$8),CJ264+3,CJ264))</f>
        <v>#VALUE!</v>
      </c>
      <c r="CK267" s="1" t="e">
        <f t="shared" si="227"/>
        <v>#VALUE!</v>
      </c>
      <c r="CL267" s="8" t="str">
        <f t="shared" si="196"/>
        <v/>
      </c>
      <c r="CN267" s="71" t="e">
        <f t="shared" si="233"/>
        <v>#VALUE!</v>
      </c>
      <c r="CO267" s="71" t="str">
        <f>IF(OR(COUNTBLANK(CR267)=1,ISERROR(CR267)),"",COUNT($CR$4:CR267))</f>
        <v/>
      </c>
      <c r="CP267" s="7" t="e">
        <f t="shared" si="234"/>
        <v>#VALUE!</v>
      </c>
      <c r="CQ267" s="1" t="str">
        <f t="shared" si="235"/>
        <v/>
      </c>
      <c r="CR267" s="79" t="e">
        <f>IF(IF(COUNTIF($CR$4:CR266,CR263)&gt;=MAX($D$4:$D$8),CR263+4,CR263)&gt;55,"",IF(COUNTIF($CR$4:CR266,CR263)&gt;=MAX($D$4:$D$8),CR263+4,CR263))</f>
        <v>#VALUE!</v>
      </c>
      <c r="CS267" s="1" t="e">
        <f t="shared" si="228"/>
        <v>#VALUE!</v>
      </c>
      <c r="CT267" s="8" t="str">
        <f t="shared" si="236"/>
        <v/>
      </c>
      <c r="CV267" s="71" t="e">
        <f t="shared" si="197"/>
        <v>#VALUE!</v>
      </c>
      <c r="CW267" s="71" t="str">
        <f>IF(OR(COUNTBLANK(CZ267)=1,ISERROR(CZ267)),"",COUNT($CZ$4:CZ267))</f>
        <v/>
      </c>
      <c r="CX267" s="7" t="e">
        <f t="shared" si="198"/>
        <v>#VALUE!</v>
      </c>
      <c r="CY267" s="1" t="str">
        <f t="shared" si="199"/>
        <v/>
      </c>
      <c r="CZ267" s="79" t="e">
        <f>IF(IF(COUNTIF($CZ$4:CZ266,CZ262)&gt;=MAX($D$4:$D$8),CZ262+5,CZ262)&gt;55,"",IF(COUNTIF($CZ$4:CZ266,CZ262)&gt;=MAX($D$4:$D$8),CZ262+5,CZ262))</f>
        <v>#VALUE!</v>
      </c>
      <c r="DA267" s="1" t="e">
        <f t="shared" si="229"/>
        <v>#VALUE!</v>
      </c>
      <c r="DB267" s="8" t="str">
        <f t="shared" si="200"/>
        <v/>
      </c>
    </row>
    <row r="268" spans="5:106" x14ac:dyDescent="0.15">
      <c r="E268" s="1">
        <v>265</v>
      </c>
      <c r="F268" s="1">
        <f t="shared" si="230"/>
        <v>1</v>
      </c>
      <c r="G268" s="1">
        <f t="shared" si="237"/>
        <v>1</v>
      </c>
      <c r="H268" s="1">
        <f t="shared" si="231"/>
        <v>1</v>
      </c>
      <c r="I268" s="1">
        <f t="shared" si="232"/>
        <v>1</v>
      </c>
      <c r="J268" s="1">
        <f t="shared" si="238"/>
        <v>1</v>
      </c>
      <c r="W268" s="71" t="e">
        <f t="shared" si="201"/>
        <v>#VALUE!</v>
      </c>
      <c r="X268" s="71" t="str">
        <f>IF(OR(COUNTBLANK(AA268)=1,ISERROR(AA268)),"",COUNT(AA4:AA268))</f>
        <v/>
      </c>
      <c r="Y268" s="7" t="e">
        <f t="shared" si="203"/>
        <v>#VALUE!</v>
      </c>
      <c r="Z268" s="1" t="str">
        <f t="shared" si="217"/>
        <v/>
      </c>
      <c r="AA268" s="79" t="e">
        <f>IF(IF(COUNTIF(AA4:AA267,AA267)&gt;=MAX(D4:D8),AA267+1,AA267)&gt;50,"",IF(COUNTIF(AA4:AA267,AA267)&gt;=MAX(D4:D8),AA267+1,AA267))</f>
        <v>#VALUE!</v>
      </c>
      <c r="AB268" s="1" t="e">
        <f>IF(AA268="","",VLOOKUP(AA268,S4:U53,3,0))</f>
        <v>#VALUE!</v>
      </c>
      <c r="AC268" s="8" t="str">
        <f t="shared" si="204"/>
        <v/>
      </c>
      <c r="AE268" s="71" t="e">
        <f t="shared" si="205"/>
        <v>#VALUE!</v>
      </c>
      <c r="AF268" s="71" t="str">
        <f>IF(OR(COUNTBLANK(AI268)=1,ISERROR(AI268)),"",COUNT(AI4:AI268))</f>
        <v/>
      </c>
      <c r="AG268" s="7" t="e">
        <f t="shared" si="206"/>
        <v>#VALUE!</v>
      </c>
      <c r="AH268" s="1" t="str">
        <f>IF(ISERROR(INDEX(C4:C8,MATCH(G268,D4:D8,0))),"",INDEX(C4:C8,MATCH(G268,D4:D8,0)))</f>
        <v/>
      </c>
      <c r="AI268" s="79" t="e">
        <f>IF(IF(COUNTIF(AI4:AI266,AI266)&gt;=MAX(D4:D8),AI266+2,AI266)&gt;50,"",IF(COUNTIF(AI4:AI266,AI266)&gt;=MAX(D4:D8),AI266+2,AI266))</f>
        <v>#VALUE!</v>
      </c>
      <c r="AJ268" s="1" t="e">
        <f>IF(AI268="","",VLOOKUP(AI268,S4:U53,3,0))</f>
        <v>#VALUE!</v>
      </c>
      <c r="AK268" s="8" t="str">
        <f t="shared" si="207"/>
        <v/>
      </c>
      <c r="AM268" s="71" t="e">
        <f t="shared" si="208"/>
        <v>#VALUE!</v>
      </c>
      <c r="AN268" s="71" t="str">
        <f>IF(OR(COUNTBLANK(AQ268)=1,ISERROR(AQ268)),"",COUNT(AQ4:AQ268))</f>
        <v/>
      </c>
      <c r="AO268" s="7" t="e">
        <f t="shared" si="209"/>
        <v>#VALUE!</v>
      </c>
      <c r="AP268" s="1" t="str">
        <f>IF(ISERROR(INDEX(C4:C8,MATCH(H268,D4:D8,0))),"",INDEX(C4:C8,MATCH(H268,D4:D8,0)))</f>
        <v/>
      </c>
      <c r="AQ268" s="79" t="e">
        <f>IF(IF(COUNTIF(AQ4:AQ267,AQ265)&gt;=MAX(D4:D8),AQ265+3,AQ265)&gt;50,"",IF(COUNTIF(AQ4:AQ267,AQ265)&gt;=MAX(D4:D8),AQ265+3,AQ265))</f>
        <v>#VALUE!</v>
      </c>
      <c r="AR268" s="1" t="e">
        <f>IF(AQ268="","",VLOOKUP(AQ268,S4:U53,3,0))</f>
        <v>#VALUE!</v>
      </c>
      <c r="AS268" s="8" t="str">
        <f t="shared" si="210"/>
        <v/>
      </c>
      <c r="AU268" s="71" t="e">
        <f t="shared" si="211"/>
        <v>#VALUE!</v>
      </c>
      <c r="AV268" s="71" t="str">
        <f>IF(OR(COUNTBLANK(AY268)=1,ISERROR(AY268)),"",COUNT(AY4:AY268))</f>
        <v/>
      </c>
      <c r="AW268" s="7" t="e">
        <f t="shared" si="212"/>
        <v>#VALUE!</v>
      </c>
      <c r="AX268" s="1" t="str">
        <f>IF(ISERROR(INDEX(C4:C8,MATCH(I268,D4:D8,0))),"",INDEX(C4:C8,MATCH(I268,D4:D8,0)))</f>
        <v/>
      </c>
      <c r="AY268" s="79" t="e">
        <f>IF(IF(COUNTIF(AY4:AY267,AY264)&gt;=MAX(D4:D8),AY264+4,AY264)&gt;50,"",IF(COUNTIF(AY4:AY267,AY264)&gt;=MAX(D4:D8),AY264+4,AY264))</f>
        <v>#VALUE!</v>
      </c>
      <c r="AZ268" s="76" t="e">
        <f>IF(AY268="","",VLOOKUP(AY268,S4:U53,3,0))</f>
        <v>#VALUE!</v>
      </c>
      <c r="BA268" s="8" t="str">
        <f t="shared" si="213"/>
        <v/>
      </c>
      <c r="BC268" s="71" t="e">
        <f t="shared" si="214"/>
        <v>#VALUE!</v>
      </c>
      <c r="BD268" s="71" t="str">
        <f>IF(OR(COUNTBLANK(BG268)=1,ISERROR(BG268)),"",COUNT(BG4:BG268))</f>
        <v/>
      </c>
      <c r="BE268" s="7" t="e">
        <f t="shared" si="215"/>
        <v>#VALUE!</v>
      </c>
      <c r="BF268" s="1" t="str">
        <f>IF(ISERROR(INDEX(C4:C8,MATCH(J268,D4:D8,0))),"",INDEX(C4:C8,MATCH(J268,D4:D8,0)))</f>
        <v/>
      </c>
      <c r="BG268" s="79" t="e">
        <f>IF(IF(COUNTIF(BG4:BG267,BG263)&gt;=MAX(D4:D8),BG263+5,BG263)&gt;50,"",IF(COUNTIF(BG4:BG267,BG263)&gt;=MAX(D4:D8),BG263+5,BG263))</f>
        <v>#VALUE!</v>
      </c>
      <c r="BH268" s="76" t="e">
        <f>IF(BG268="","",VLOOKUP(BG268,S4:U53,3,0))</f>
        <v>#VALUE!</v>
      </c>
      <c r="BI268" s="8" t="str">
        <f t="shared" si="216"/>
        <v/>
      </c>
      <c r="BP268" s="71" t="e">
        <f t="shared" si="202"/>
        <v>#VALUE!</v>
      </c>
      <c r="BQ268" s="71" t="str">
        <f>IF(OR(COUNTBLANK(BT268)=1,ISERROR(BT268)),"",COUNT(BT4:BT268))</f>
        <v/>
      </c>
      <c r="BR268" s="7" t="e">
        <f t="shared" si="218"/>
        <v>#VALUE!</v>
      </c>
      <c r="BS268" s="1" t="str">
        <f t="shared" si="219"/>
        <v/>
      </c>
      <c r="BT268" s="79" t="e">
        <f>IF(IF(COUNTIF($BT$4:BT267,BT267)&gt;=MAX($D$4:$D$8),BT267+1,BT267)&gt;55,"",IF(COUNTIF($BT$4:BT267,BT267)&gt;=MAX($D$4:$D$8),BT267+1,BT267))</f>
        <v>#VALUE!</v>
      </c>
      <c r="BU268" s="1" t="e">
        <f t="shared" si="220"/>
        <v>#VALUE!</v>
      </c>
      <c r="BV268" s="8" t="str">
        <f t="shared" si="221"/>
        <v/>
      </c>
      <c r="BX268" s="71" t="e">
        <f t="shared" si="222"/>
        <v>#VALUE!</v>
      </c>
      <c r="BY268" s="71" t="str">
        <f>IF(OR(COUNTBLANK(CB268)=1,ISERROR(CB268)),"",COUNT($CB$4:CB268))</f>
        <v/>
      </c>
      <c r="BZ268" s="7" t="e">
        <f t="shared" si="223"/>
        <v>#VALUE!</v>
      </c>
      <c r="CA268" s="1" t="str">
        <f t="shared" si="224"/>
        <v/>
      </c>
      <c r="CB268" s="79" t="e">
        <f>IF(IF(COUNTIF($CB$4:CB267,CB266)&gt;=MAX($D$4:$D$8),CB266+2,CB266)&gt;55,"",IF(COUNTIF($CB$4:CB267,CB266)&gt;=MAX($D$4:$D$8),CB266+2,CB266))</f>
        <v>#VALUE!</v>
      </c>
      <c r="CC268" s="1" t="e">
        <f t="shared" si="225"/>
        <v>#VALUE!</v>
      </c>
      <c r="CD268" s="8" t="str">
        <f t="shared" si="226"/>
        <v/>
      </c>
      <c r="CF268" s="71" t="e">
        <f t="shared" si="193"/>
        <v>#VALUE!</v>
      </c>
      <c r="CG268" s="71" t="str">
        <f>IF(OR(COUNTBLANK(CJ268)=1,ISERROR(CJ268)),"",COUNT($CJ$4:CJ268))</f>
        <v/>
      </c>
      <c r="CH268" s="7" t="e">
        <f t="shared" si="194"/>
        <v>#VALUE!</v>
      </c>
      <c r="CI268" s="1" t="str">
        <f t="shared" si="195"/>
        <v/>
      </c>
      <c r="CJ268" s="79" t="e">
        <f>IF(IF(COUNTIF($CJ$4:CJ267,CJ265)&gt;=MAX($D$4:$D$8),CJ265+3,CJ265)&gt;55,"",IF(COUNTIF($CJ$4:CJ267,CJ265)&gt;=MAX($D$4:$D$8),CJ265+3,CJ265))</f>
        <v>#VALUE!</v>
      </c>
      <c r="CK268" s="1" t="e">
        <f t="shared" si="227"/>
        <v>#VALUE!</v>
      </c>
      <c r="CL268" s="8" t="str">
        <f t="shared" si="196"/>
        <v/>
      </c>
      <c r="CN268" s="71" t="e">
        <f t="shared" si="233"/>
        <v>#VALUE!</v>
      </c>
      <c r="CO268" s="71" t="str">
        <f>IF(OR(COUNTBLANK(CR268)=1,ISERROR(CR268)),"",COUNT($CR$4:CR268))</f>
        <v/>
      </c>
      <c r="CP268" s="7" t="e">
        <f t="shared" si="234"/>
        <v>#VALUE!</v>
      </c>
      <c r="CQ268" s="1" t="str">
        <f t="shared" si="235"/>
        <v/>
      </c>
      <c r="CR268" s="79" t="e">
        <f>IF(IF(COUNTIF($CR$4:CR267,CR264)&gt;=MAX($D$4:$D$8),CR264+4,CR264)&gt;55,"",IF(COUNTIF($CR$4:CR267,CR264)&gt;=MAX($D$4:$D$8),CR264+4,CR264))</f>
        <v>#VALUE!</v>
      </c>
      <c r="CS268" s="1" t="e">
        <f t="shared" si="228"/>
        <v>#VALUE!</v>
      </c>
      <c r="CT268" s="8" t="str">
        <f t="shared" si="236"/>
        <v/>
      </c>
      <c r="CV268" s="71" t="e">
        <f t="shared" si="197"/>
        <v>#VALUE!</v>
      </c>
      <c r="CW268" s="71" t="str">
        <f>IF(OR(COUNTBLANK(CZ268)=1,ISERROR(CZ268)),"",COUNT($CZ$4:CZ268))</f>
        <v/>
      </c>
      <c r="CX268" s="7" t="e">
        <f t="shared" si="198"/>
        <v>#VALUE!</v>
      </c>
      <c r="CY268" s="1" t="str">
        <f t="shared" si="199"/>
        <v/>
      </c>
      <c r="CZ268" s="79" t="e">
        <f>IF(IF(COUNTIF($CZ$4:CZ267,CZ263)&gt;=MAX($D$4:$D$8),CZ263+5,CZ263)&gt;55,"",IF(COUNTIF($CZ$4:CZ267,CZ263)&gt;=MAX($D$4:$D$8),CZ263+5,CZ263))</f>
        <v>#VALUE!</v>
      </c>
      <c r="DA268" s="1" t="e">
        <f t="shared" si="229"/>
        <v>#VALUE!</v>
      </c>
      <c r="DB268" s="8" t="str">
        <f t="shared" si="200"/>
        <v/>
      </c>
    </row>
    <row r="269" spans="5:106" x14ac:dyDescent="0.15">
      <c r="E269" s="1">
        <v>266</v>
      </c>
      <c r="F269" s="1">
        <f t="shared" si="230"/>
        <v>1</v>
      </c>
      <c r="G269" s="1">
        <f t="shared" si="237"/>
        <v>1</v>
      </c>
      <c r="H269" s="1">
        <f t="shared" si="231"/>
        <v>1</v>
      </c>
      <c r="I269" s="1">
        <f t="shared" si="232"/>
        <v>1</v>
      </c>
      <c r="J269" s="1">
        <f t="shared" si="238"/>
        <v>1</v>
      </c>
      <c r="W269" s="71" t="e">
        <f t="shared" si="201"/>
        <v>#VALUE!</v>
      </c>
      <c r="X269" s="71" t="str">
        <f>IF(OR(COUNTBLANK(AA269)=1,ISERROR(AA269)),"",COUNT(AA4:AA269))</f>
        <v/>
      </c>
      <c r="Y269" s="7" t="e">
        <f t="shared" si="203"/>
        <v>#VALUE!</v>
      </c>
      <c r="Z269" s="1" t="str">
        <f t="shared" si="217"/>
        <v/>
      </c>
      <c r="AA269" s="79" t="e">
        <f>IF(IF(COUNTIF(AA4:AA268,AA268)&gt;=MAX(D4:D8),AA268+1,AA268)&gt;50,"",IF(COUNTIF(AA4:AA268,AA268)&gt;=MAX(D4:D8),AA268+1,AA268))</f>
        <v>#VALUE!</v>
      </c>
      <c r="AB269" s="1" t="e">
        <f>IF(AA269="","",VLOOKUP(AA269,S4:U53,3,0))</f>
        <v>#VALUE!</v>
      </c>
      <c r="AC269" s="8" t="str">
        <f t="shared" si="204"/>
        <v/>
      </c>
      <c r="AE269" s="71" t="e">
        <f t="shared" si="205"/>
        <v>#VALUE!</v>
      </c>
      <c r="AF269" s="71" t="str">
        <f>IF(OR(COUNTBLANK(AI269)=1,ISERROR(AI269)),"",COUNT(AI4:AI269))</f>
        <v/>
      </c>
      <c r="AG269" s="7" t="e">
        <f t="shared" si="206"/>
        <v>#VALUE!</v>
      </c>
      <c r="AH269" s="1" t="str">
        <f>IF(ISERROR(INDEX(C4:C8,MATCH(G269,D4:D8,0))),"",INDEX(C4:C8,MATCH(G269,D4:D8,0)))</f>
        <v/>
      </c>
      <c r="AI269" s="79" t="e">
        <f>IF(IF(COUNTIF(AI4:AI267,AI267)&gt;=MAX(D4:D8),AI267+2,AI267)&gt;50,"",IF(COUNTIF(AI4:AI267,AI267)&gt;=MAX(D4:D8),AI267+2,AI267))</f>
        <v>#VALUE!</v>
      </c>
      <c r="AJ269" s="1" t="e">
        <f>IF(AI269="","",VLOOKUP(AI269,S4:U53,3,0))</f>
        <v>#VALUE!</v>
      </c>
      <c r="AK269" s="8" t="str">
        <f t="shared" si="207"/>
        <v/>
      </c>
      <c r="AM269" s="71" t="e">
        <f t="shared" si="208"/>
        <v>#VALUE!</v>
      </c>
      <c r="AN269" s="71" t="str">
        <f>IF(OR(COUNTBLANK(AQ269)=1,ISERROR(AQ269)),"",COUNT(AQ4:AQ269))</f>
        <v/>
      </c>
      <c r="AO269" s="7" t="e">
        <f t="shared" si="209"/>
        <v>#VALUE!</v>
      </c>
      <c r="AP269" s="1" t="str">
        <f>IF(ISERROR(INDEX(C4:C8,MATCH(H269,D4:D8,0))),"",INDEX(C4:C8,MATCH(H269,D4:D8,0)))</f>
        <v/>
      </c>
      <c r="AQ269" s="79" t="e">
        <f>IF(IF(COUNTIF(AQ4:AQ268,AQ266)&gt;=MAX(D4:D8),AQ266+3,AQ266)&gt;50,"",IF(COUNTIF(AQ4:AQ268,AQ266)&gt;=MAX(D4:D8),AQ266+3,AQ266))</f>
        <v>#VALUE!</v>
      </c>
      <c r="AR269" s="1" t="e">
        <f>IF(AQ269="","",VLOOKUP(AQ269,S4:U53,3,0))</f>
        <v>#VALUE!</v>
      </c>
      <c r="AS269" s="8" t="str">
        <f t="shared" si="210"/>
        <v/>
      </c>
      <c r="AU269" s="71" t="e">
        <f t="shared" si="211"/>
        <v>#VALUE!</v>
      </c>
      <c r="AV269" s="71" t="str">
        <f>IF(OR(COUNTBLANK(AY269)=1,ISERROR(AY269)),"",COUNT(AY4:AY269))</f>
        <v/>
      </c>
      <c r="AW269" s="7" t="e">
        <f t="shared" si="212"/>
        <v>#VALUE!</v>
      </c>
      <c r="AX269" s="1" t="str">
        <f>IF(ISERROR(INDEX(C4:C8,MATCH(I269,D4:D8,0))),"",INDEX(C4:C8,MATCH(I269,D4:D8,0)))</f>
        <v/>
      </c>
      <c r="AY269" s="79" t="e">
        <f>IF(IF(COUNTIF(AY4:AY268,AY265)&gt;=MAX(D4:D8),AY265+4,AY265)&gt;50,"",IF(COUNTIF(AY4:AY268,AY265)&gt;=MAX(D4:D8),AY265+4,AY265))</f>
        <v>#VALUE!</v>
      </c>
      <c r="AZ269" s="76" t="e">
        <f>IF(AY269="","",VLOOKUP(AY269,S4:U53,3,0))</f>
        <v>#VALUE!</v>
      </c>
      <c r="BA269" s="8" t="str">
        <f t="shared" si="213"/>
        <v/>
      </c>
      <c r="BC269" s="71" t="e">
        <f t="shared" si="214"/>
        <v>#VALUE!</v>
      </c>
      <c r="BD269" s="71" t="str">
        <f>IF(OR(COUNTBLANK(BG269)=1,ISERROR(BG269)),"",COUNT(BG4:BG269))</f>
        <v/>
      </c>
      <c r="BE269" s="7" t="e">
        <f t="shared" si="215"/>
        <v>#VALUE!</v>
      </c>
      <c r="BF269" s="1" t="str">
        <f>IF(ISERROR(INDEX(C4:C8,MATCH(J269,D4:D8,0))),"",INDEX(C4:C8,MATCH(J269,D4:D8,0)))</f>
        <v/>
      </c>
      <c r="BG269" s="79" t="e">
        <f>IF(IF(COUNTIF(BG4:BG268,BG264)&gt;=MAX(D4:D8),BG264+5,BG264)&gt;50,"",IF(COUNTIF(BG4:BG268,BG264)&gt;=MAX(D4:D8),BG264+5,BG264))</f>
        <v>#VALUE!</v>
      </c>
      <c r="BH269" s="76" t="e">
        <f>IF(BG269="","",VLOOKUP(BG269,S4:U53,3,0))</f>
        <v>#VALUE!</v>
      </c>
      <c r="BI269" s="8" t="str">
        <f t="shared" si="216"/>
        <v/>
      </c>
      <c r="BP269" s="71" t="e">
        <f t="shared" si="202"/>
        <v>#VALUE!</v>
      </c>
      <c r="BQ269" s="71" t="str">
        <f>IF(OR(COUNTBLANK(BT269)=1,ISERROR(BT269)),"",COUNT(BT4:BT269))</f>
        <v/>
      </c>
      <c r="BR269" s="7" t="e">
        <f t="shared" si="218"/>
        <v>#VALUE!</v>
      </c>
      <c r="BS269" s="1" t="str">
        <f t="shared" si="219"/>
        <v/>
      </c>
      <c r="BT269" s="79" t="e">
        <f>IF(IF(COUNTIF($BT$4:BT268,BT268)&gt;=MAX($D$4:$D$8),BT268+1,BT268)&gt;55,"",IF(COUNTIF($BT$4:BT268,BT268)&gt;=MAX($D$4:$D$8),BT268+1,BT268))</f>
        <v>#VALUE!</v>
      </c>
      <c r="BU269" s="1" t="e">
        <f t="shared" si="220"/>
        <v>#VALUE!</v>
      </c>
      <c r="BV269" s="8" t="str">
        <f t="shared" si="221"/>
        <v/>
      </c>
      <c r="BX269" s="71" t="e">
        <f t="shared" si="222"/>
        <v>#VALUE!</v>
      </c>
      <c r="BY269" s="71" t="str">
        <f>IF(OR(COUNTBLANK(CB269)=1,ISERROR(CB269)),"",COUNT($CB$4:CB269))</f>
        <v/>
      </c>
      <c r="BZ269" s="7" t="e">
        <f t="shared" si="223"/>
        <v>#VALUE!</v>
      </c>
      <c r="CA269" s="1" t="str">
        <f t="shared" si="224"/>
        <v/>
      </c>
      <c r="CB269" s="79" t="e">
        <f>IF(IF(COUNTIF($CB$4:CB268,CB267)&gt;=MAX($D$4:$D$8),CB267+2,CB267)&gt;55,"",IF(COUNTIF($CB$4:CB268,CB267)&gt;=MAX($D$4:$D$8),CB267+2,CB267))</f>
        <v>#VALUE!</v>
      </c>
      <c r="CC269" s="1" t="e">
        <f t="shared" si="225"/>
        <v>#VALUE!</v>
      </c>
      <c r="CD269" s="8" t="str">
        <f t="shared" si="226"/>
        <v/>
      </c>
      <c r="CF269" s="71" t="e">
        <f t="shared" si="193"/>
        <v>#VALUE!</v>
      </c>
      <c r="CG269" s="71" t="str">
        <f>IF(OR(COUNTBLANK(CJ269)=1,ISERROR(CJ269)),"",COUNT($CJ$4:CJ269))</f>
        <v/>
      </c>
      <c r="CH269" s="7" t="e">
        <f t="shared" si="194"/>
        <v>#VALUE!</v>
      </c>
      <c r="CI269" s="1" t="str">
        <f t="shared" si="195"/>
        <v/>
      </c>
      <c r="CJ269" s="79" t="e">
        <f>IF(IF(COUNTIF($CJ$4:CJ268,CJ266)&gt;=MAX($D$4:$D$8),CJ266+3,CJ266)&gt;55,"",IF(COUNTIF($CJ$4:CJ268,CJ266)&gt;=MAX($D$4:$D$8),CJ266+3,CJ266))</f>
        <v>#VALUE!</v>
      </c>
      <c r="CK269" s="1" t="e">
        <f t="shared" si="227"/>
        <v>#VALUE!</v>
      </c>
      <c r="CL269" s="8" t="str">
        <f t="shared" si="196"/>
        <v/>
      </c>
      <c r="CN269" s="71" t="e">
        <f t="shared" si="233"/>
        <v>#VALUE!</v>
      </c>
      <c r="CO269" s="71" t="str">
        <f>IF(OR(COUNTBLANK(CR269)=1,ISERROR(CR269)),"",COUNT($CR$4:CR269))</f>
        <v/>
      </c>
      <c r="CP269" s="7" t="e">
        <f t="shared" si="234"/>
        <v>#VALUE!</v>
      </c>
      <c r="CQ269" s="1" t="str">
        <f t="shared" si="235"/>
        <v/>
      </c>
      <c r="CR269" s="79" t="e">
        <f>IF(IF(COUNTIF($CR$4:CR268,CR265)&gt;=MAX($D$4:$D$8),CR265+4,CR265)&gt;55,"",IF(COUNTIF($CR$4:CR268,CR265)&gt;=MAX($D$4:$D$8),CR265+4,CR265))</f>
        <v>#VALUE!</v>
      </c>
      <c r="CS269" s="1" t="e">
        <f t="shared" si="228"/>
        <v>#VALUE!</v>
      </c>
      <c r="CT269" s="8" t="str">
        <f t="shared" si="236"/>
        <v/>
      </c>
      <c r="CV269" s="71" t="e">
        <f t="shared" si="197"/>
        <v>#VALUE!</v>
      </c>
      <c r="CW269" s="71" t="str">
        <f>IF(OR(COUNTBLANK(CZ269)=1,ISERROR(CZ269)),"",COUNT($CZ$4:CZ269))</f>
        <v/>
      </c>
      <c r="CX269" s="7" t="e">
        <f t="shared" si="198"/>
        <v>#VALUE!</v>
      </c>
      <c r="CY269" s="1" t="str">
        <f t="shared" si="199"/>
        <v/>
      </c>
      <c r="CZ269" s="79" t="e">
        <f>IF(IF(COUNTIF($CZ$4:CZ268,CZ264)&gt;=MAX($D$4:$D$8),CZ264+5,CZ264)&gt;55,"",IF(COUNTIF($CZ$4:CZ268,CZ264)&gt;=MAX($D$4:$D$8),CZ264+5,CZ264))</f>
        <v>#VALUE!</v>
      </c>
      <c r="DA269" s="1" t="e">
        <f t="shared" si="229"/>
        <v>#VALUE!</v>
      </c>
      <c r="DB269" s="8" t="str">
        <f t="shared" si="200"/>
        <v/>
      </c>
    </row>
    <row r="270" spans="5:106" x14ac:dyDescent="0.15">
      <c r="E270" s="1">
        <v>267</v>
      </c>
      <c r="F270" s="1">
        <f t="shared" si="230"/>
        <v>1</v>
      </c>
      <c r="G270" s="1">
        <f t="shared" si="237"/>
        <v>1</v>
      </c>
      <c r="H270" s="1">
        <f t="shared" si="231"/>
        <v>1</v>
      </c>
      <c r="I270" s="1">
        <f t="shared" si="232"/>
        <v>1</v>
      </c>
      <c r="J270" s="1">
        <f t="shared" si="238"/>
        <v>1</v>
      </c>
      <c r="W270" s="71" t="e">
        <f t="shared" si="201"/>
        <v>#VALUE!</v>
      </c>
      <c r="X270" s="71" t="str">
        <f>IF(OR(COUNTBLANK(AA270)=1,ISERROR(AA270)),"",COUNT(AA4:AA270))</f>
        <v/>
      </c>
      <c r="Y270" s="7" t="e">
        <f t="shared" si="203"/>
        <v>#VALUE!</v>
      </c>
      <c r="Z270" s="1" t="str">
        <f t="shared" si="217"/>
        <v/>
      </c>
      <c r="AA270" s="79" t="e">
        <f>IF(IF(COUNTIF(AA4:AA269,AA269)&gt;=MAX(D4:D8),AA269+1,AA269)&gt;50,"",IF(COUNTIF(AA4:AA269,AA269)&gt;=MAX(D4:D8),AA269+1,AA269))</f>
        <v>#VALUE!</v>
      </c>
      <c r="AB270" s="1" t="e">
        <f>IF(AA270="","",VLOOKUP(AA270,S4:U53,3,0))</f>
        <v>#VALUE!</v>
      </c>
      <c r="AC270" s="8" t="str">
        <f t="shared" si="204"/>
        <v/>
      </c>
      <c r="AE270" s="71" t="e">
        <f t="shared" si="205"/>
        <v>#VALUE!</v>
      </c>
      <c r="AF270" s="71" t="str">
        <f>IF(OR(COUNTBLANK(AI270)=1,ISERROR(AI270)),"",COUNT(AI4:AI270))</f>
        <v/>
      </c>
      <c r="AG270" s="7" t="e">
        <f t="shared" si="206"/>
        <v>#VALUE!</v>
      </c>
      <c r="AH270" s="1" t="str">
        <f>IF(ISERROR(INDEX(C4:C8,MATCH(G270,D4:D8,0))),"",INDEX(C4:C8,MATCH(G270,D4:D8,0)))</f>
        <v/>
      </c>
      <c r="AI270" s="79" t="e">
        <f>IF(IF(COUNTIF(AI4:AI268,AI268)&gt;=MAX(D4:D8),AI268+2,AI268)&gt;50,"",IF(COUNTIF(AI4:AI268,AI268)&gt;=MAX(D4:D8),AI268+2,AI268))</f>
        <v>#VALUE!</v>
      </c>
      <c r="AJ270" s="1" t="e">
        <f>IF(AI270="","",VLOOKUP(AI270,S4:U53,3,0))</f>
        <v>#VALUE!</v>
      </c>
      <c r="AK270" s="8" t="str">
        <f t="shared" si="207"/>
        <v/>
      </c>
      <c r="AM270" s="71" t="e">
        <f t="shared" si="208"/>
        <v>#VALUE!</v>
      </c>
      <c r="AN270" s="71" t="str">
        <f>IF(OR(COUNTBLANK(AQ270)=1,ISERROR(AQ270)),"",COUNT(AQ4:AQ270))</f>
        <v/>
      </c>
      <c r="AO270" s="7" t="e">
        <f t="shared" si="209"/>
        <v>#VALUE!</v>
      </c>
      <c r="AP270" s="1" t="str">
        <f>IF(ISERROR(INDEX(C4:C8,MATCH(H270,D4:D8,0))),"",INDEX(C4:C8,MATCH(H270,D4:D8,0)))</f>
        <v/>
      </c>
      <c r="AQ270" s="79" t="e">
        <f>IF(IF(COUNTIF(AQ4:AQ269,AQ267)&gt;=MAX(D4:D8),AQ267+3,AQ267)&gt;50,"",IF(COUNTIF(AQ4:AQ269,AQ267)&gt;=MAX(D4:D8),AQ267+3,AQ267))</f>
        <v>#VALUE!</v>
      </c>
      <c r="AR270" s="1" t="e">
        <f>IF(AQ270="","",VLOOKUP(AQ270,S4:U53,3,0))</f>
        <v>#VALUE!</v>
      </c>
      <c r="AS270" s="8" t="str">
        <f t="shared" si="210"/>
        <v/>
      </c>
      <c r="AU270" s="71" t="e">
        <f t="shared" si="211"/>
        <v>#VALUE!</v>
      </c>
      <c r="AV270" s="71" t="str">
        <f>IF(OR(COUNTBLANK(AY270)=1,ISERROR(AY270)),"",COUNT(AY4:AY270))</f>
        <v/>
      </c>
      <c r="AW270" s="7" t="e">
        <f t="shared" si="212"/>
        <v>#VALUE!</v>
      </c>
      <c r="AX270" s="1" t="str">
        <f>IF(ISERROR(INDEX(C4:C8,MATCH(I270,D4:D8,0))),"",INDEX(C4:C8,MATCH(I270,D4:D8,0)))</f>
        <v/>
      </c>
      <c r="AY270" s="79" t="e">
        <f>IF(IF(COUNTIF(AY4:AY269,AY266)&gt;=MAX(D4:D8),AY266+4,AY266)&gt;50,"",IF(COUNTIF(AY4:AY269,AY266)&gt;=MAX(D4:D8),AY266+4,AY266))</f>
        <v>#VALUE!</v>
      </c>
      <c r="AZ270" s="76" t="e">
        <f>IF(AY270="","",VLOOKUP(AY270,S4:U53,3,0))</f>
        <v>#VALUE!</v>
      </c>
      <c r="BA270" s="8" t="str">
        <f t="shared" si="213"/>
        <v/>
      </c>
      <c r="BC270" s="71" t="e">
        <f t="shared" si="214"/>
        <v>#VALUE!</v>
      </c>
      <c r="BD270" s="71" t="str">
        <f>IF(OR(COUNTBLANK(BG270)=1,ISERROR(BG270)),"",COUNT(BG4:BG270))</f>
        <v/>
      </c>
      <c r="BE270" s="7" t="e">
        <f t="shared" si="215"/>
        <v>#VALUE!</v>
      </c>
      <c r="BF270" s="1" t="str">
        <f>IF(ISERROR(INDEX(C4:C8,MATCH(J270,D4:D8,0))),"",INDEX(C4:C8,MATCH(J270,D4:D8,0)))</f>
        <v/>
      </c>
      <c r="BG270" s="79" t="e">
        <f>IF(IF(COUNTIF(BG4:BG269,BG265)&gt;=MAX(D4:D8),BG265+5,BG265)&gt;50,"",IF(COUNTIF(BG4:BG269,BG265)&gt;=MAX(D4:D8),BG265+5,BG265))</f>
        <v>#VALUE!</v>
      </c>
      <c r="BH270" s="76" t="e">
        <f>IF(BG270="","",VLOOKUP(BG270,S4:U53,3,0))</f>
        <v>#VALUE!</v>
      </c>
      <c r="BI270" s="8" t="str">
        <f t="shared" si="216"/>
        <v/>
      </c>
      <c r="BP270" s="71" t="e">
        <f t="shared" si="202"/>
        <v>#VALUE!</v>
      </c>
      <c r="BQ270" s="71" t="str">
        <f>IF(OR(COUNTBLANK(BT270)=1,ISERROR(BT270)),"",COUNT(BT4:BT270))</f>
        <v/>
      </c>
      <c r="BR270" s="7" t="e">
        <f t="shared" si="218"/>
        <v>#VALUE!</v>
      </c>
      <c r="BS270" s="1" t="str">
        <f t="shared" si="219"/>
        <v/>
      </c>
      <c r="BT270" s="79" t="e">
        <f>IF(IF(COUNTIF($BT$4:BT269,BT269)&gt;=MAX($D$4:$D$8),BT269+1,BT269)&gt;55,"",IF(COUNTIF($BT$4:BT269,BT269)&gt;=MAX($D$4:$D$8),BT269+1,BT269))</f>
        <v>#VALUE!</v>
      </c>
      <c r="BU270" s="1" t="e">
        <f t="shared" si="220"/>
        <v>#VALUE!</v>
      </c>
      <c r="BV270" s="8" t="str">
        <f t="shared" si="221"/>
        <v/>
      </c>
      <c r="BX270" s="71" t="e">
        <f t="shared" si="222"/>
        <v>#VALUE!</v>
      </c>
      <c r="BY270" s="71" t="str">
        <f>IF(OR(COUNTBLANK(CB270)=1,ISERROR(CB270)),"",COUNT($CB$4:CB270))</f>
        <v/>
      </c>
      <c r="BZ270" s="7" t="e">
        <f t="shared" si="223"/>
        <v>#VALUE!</v>
      </c>
      <c r="CA270" s="1" t="str">
        <f t="shared" si="224"/>
        <v/>
      </c>
      <c r="CB270" s="79" t="e">
        <f>IF(IF(COUNTIF($CB$4:CB269,CB268)&gt;=MAX($D$4:$D$8),CB268+2,CB268)&gt;55,"",IF(COUNTIF($CB$4:CB269,CB268)&gt;=MAX($D$4:$D$8),CB268+2,CB268))</f>
        <v>#VALUE!</v>
      </c>
      <c r="CC270" s="1" t="e">
        <f t="shared" si="225"/>
        <v>#VALUE!</v>
      </c>
      <c r="CD270" s="8" t="str">
        <f t="shared" si="226"/>
        <v/>
      </c>
      <c r="CF270" s="71" t="e">
        <f t="shared" si="193"/>
        <v>#VALUE!</v>
      </c>
      <c r="CG270" s="71" t="str">
        <f>IF(OR(COUNTBLANK(CJ270)=1,ISERROR(CJ270)),"",COUNT($CJ$4:CJ270))</f>
        <v/>
      </c>
      <c r="CH270" s="7" t="e">
        <f t="shared" si="194"/>
        <v>#VALUE!</v>
      </c>
      <c r="CI270" s="1" t="str">
        <f t="shared" si="195"/>
        <v/>
      </c>
      <c r="CJ270" s="79" t="e">
        <f>IF(IF(COUNTIF($CJ$4:CJ269,CJ267)&gt;=MAX($D$4:$D$8),CJ267+3,CJ267)&gt;55,"",IF(COUNTIF($CJ$4:CJ269,CJ267)&gt;=MAX($D$4:$D$8),CJ267+3,CJ267))</f>
        <v>#VALUE!</v>
      </c>
      <c r="CK270" s="1" t="e">
        <f t="shared" si="227"/>
        <v>#VALUE!</v>
      </c>
      <c r="CL270" s="8" t="str">
        <f t="shared" si="196"/>
        <v/>
      </c>
      <c r="CN270" s="71" t="e">
        <f t="shared" si="233"/>
        <v>#VALUE!</v>
      </c>
      <c r="CO270" s="71" t="str">
        <f>IF(OR(COUNTBLANK(CR270)=1,ISERROR(CR270)),"",COUNT($CR$4:CR270))</f>
        <v/>
      </c>
      <c r="CP270" s="7" t="e">
        <f t="shared" si="234"/>
        <v>#VALUE!</v>
      </c>
      <c r="CQ270" s="1" t="str">
        <f t="shared" si="235"/>
        <v/>
      </c>
      <c r="CR270" s="79" t="e">
        <f>IF(IF(COUNTIF($CR$4:CR269,CR266)&gt;=MAX($D$4:$D$8),CR266+4,CR266)&gt;55,"",IF(COUNTIF($CR$4:CR269,CR266)&gt;=MAX($D$4:$D$8),CR266+4,CR266))</f>
        <v>#VALUE!</v>
      </c>
      <c r="CS270" s="1" t="e">
        <f t="shared" si="228"/>
        <v>#VALUE!</v>
      </c>
      <c r="CT270" s="8" t="str">
        <f t="shared" si="236"/>
        <v/>
      </c>
      <c r="CV270" s="71" t="e">
        <f t="shared" si="197"/>
        <v>#VALUE!</v>
      </c>
      <c r="CW270" s="71" t="str">
        <f>IF(OR(COUNTBLANK(CZ270)=1,ISERROR(CZ270)),"",COUNT($CZ$4:CZ270))</f>
        <v/>
      </c>
      <c r="CX270" s="7" t="e">
        <f t="shared" si="198"/>
        <v>#VALUE!</v>
      </c>
      <c r="CY270" s="1" t="str">
        <f t="shared" si="199"/>
        <v/>
      </c>
      <c r="CZ270" s="79" t="e">
        <f>IF(IF(COUNTIF($CZ$4:CZ269,CZ265)&gt;=MAX($D$4:$D$8),CZ265+5,CZ265)&gt;55,"",IF(COUNTIF($CZ$4:CZ269,CZ265)&gt;=MAX($D$4:$D$8),CZ265+5,CZ265))</f>
        <v>#VALUE!</v>
      </c>
      <c r="DA270" s="1" t="e">
        <f t="shared" si="229"/>
        <v>#VALUE!</v>
      </c>
      <c r="DB270" s="8" t="str">
        <f t="shared" si="200"/>
        <v/>
      </c>
    </row>
    <row r="271" spans="5:106" x14ac:dyDescent="0.15">
      <c r="E271" s="1">
        <v>268</v>
      </c>
      <c r="F271" s="1">
        <f t="shared" si="230"/>
        <v>1</v>
      </c>
      <c r="G271" s="1">
        <f t="shared" si="237"/>
        <v>1</v>
      </c>
      <c r="H271" s="1">
        <f t="shared" si="231"/>
        <v>1</v>
      </c>
      <c r="I271" s="1">
        <f t="shared" si="232"/>
        <v>1</v>
      </c>
      <c r="J271" s="1">
        <f t="shared" si="238"/>
        <v>1</v>
      </c>
      <c r="W271" s="71" t="e">
        <f t="shared" si="201"/>
        <v>#VALUE!</v>
      </c>
      <c r="X271" s="71" t="str">
        <f>IF(OR(COUNTBLANK(AA271)=1,ISERROR(AA271)),"",COUNT(AA4:AA271))</f>
        <v/>
      </c>
      <c r="Y271" s="7" t="e">
        <f t="shared" si="203"/>
        <v>#VALUE!</v>
      </c>
      <c r="Z271" s="1" t="str">
        <f t="shared" si="217"/>
        <v/>
      </c>
      <c r="AA271" s="79" t="e">
        <f>IF(IF(COUNTIF(AA4:AA270,AA270)&gt;=MAX(D4:D8),AA270+1,AA270)&gt;50,"",IF(COUNTIF(AA4:AA270,AA270)&gt;=MAX(D4:D8),AA270+1,AA270))</f>
        <v>#VALUE!</v>
      </c>
      <c r="AB271" s="1" t="e">
        <f>IF(AA271="","",VLOOKUP(AA271,S4:U53,3,0))</f>
        <v>#VALUE!</v>
      </c>
      <c r="AC271" s="8" t="str">
        <f t="shared" si="204"/>
        <v/>
      </c>
      <c r="AE271" s="71" t="e">
        <f t="shared" si="205"/>
        <v>#VALUE!</v>
      </c>
      <c r="AF271" s="71" t="str">
        <f>IF(OR(COUNTBLANK(AI271)=1,ISERROR(AI271)),"",COUNT(AI4:AI271))</f>
        <v/>
      </c>
      <c r="AG271" s="7" t="e">
        <f t="shared" si="206"/>
        <v>#VALUE!</v>
      </c>
      <c r="AH271" s="1" t="str">
        <f>IF(ISERROR(INDEX(C4:C8,MATCH(G271,D4:D8,0))),"",INDEX(C4:C8,MATCH(G271,D4:D8,0)))</f>
        <v/>
      </c>
      <c r="AI271" s="79" t="e">
        <f>IF(IF(COUNTIF(AI4:AI269,AI269)&gt;=MAX(D4:D8),AI269+2,AI269)&gt;50,"",IF(COUNTIF(AI4:AI269,AI269)&gt;=MAX(D4:D8),AI269+2,AI269))</f>
        <v>#VALUE!</v>
      </c>
      <c r="AJ271" s="1" t="e">
        <f>IF(AI271="","",VLOOKUP(AI271,S4:U53,3,0))</f>
        <v>#VALUE!</v>
      </c>
      <c r="AK271" s="8" t="str">
        <f t="shared" si="207"/>
        <v/>
      </c>
      <c r="AM271" s="71" t="e">
        <f t="shared" si="208"/>
        <v>#VALUE!</v>
      </c>
      <c r="AN271" s="71" t="str">
        <f>IF(OR(COUNTBLANK(AQ271)=1,ISERROR(AQ271)),"",COUNT(AQ4:AQ271))</f>
        <v/>
      </c>
      <c r="AO271" s="7" t="e">
        <f t="shared" si="209"/>
        <v>#VALUE!</v>
      </c>
      <c r="AP271" s="1" t="str">
        <f>IF(ISERROR(INDEX(C4:C8,MATCH(H271,D4:D8,0))),"",INDEX(C4:C8,MATCH(H271,D4:D8,0)))</f>
        <v/>
      </c>
      <c r="AQ271" s="79" t="e">
        <f>IF(IF(COUNTIF(AQ4:AQ270,AQ268)&gt;=MAX(D4:D8),AQ268+3,AQ268)&gt;50,"",IF(COUNTIF(AQ4:AQ270,AQ268)&gt;=MAX(D4:D8),AQ268+3,AQ268))</f>
        <v>#VALUE!</v>
      </c>
      <c r="AR271" s="1" t="e">
        <f>IF(AQ271="","",VLOOKUP(AQ271,S4:U53,3,0))</f>
        <v>#VALUE!</v>
      </c>
      <c r="AS271" s="8" t="str">
        <f t="shared" si="210"/>
        <v/>
      </c>
      <c r="AU271" s="71" t="e">
        <f t="shared" si="211"/>
        <v>#VALUE!</v>
      </c>
      <c r="AV271" s="71" t="str">
        <f>IF(OR(COUNTBLANK(AY271)=1,ISERROR(AY271)),"",COUNT(AY4:AY271))</f>
        <v/>
      </c>
      <c r="AW271" s="7" t="e">
        <f t="shared" si="212"/>
        <v>#VALUE!</v>
      </c>
      <c r="AX271" s="1" t="str">
        <f>IF(ISERROR(INDEX(C4:C8,MATCH(I271,D4:D8,0))),"",INDEX(C4:C8,MATCH(I271,D4:D8,0)))</f>
        <v/>
      </c>
      <c r="AY271" s="79" t="e">
        <f>IF(IF(COUNTIF(AY4:AY270,AY267)&gt;=MAX(D4:D8),AY267+4,AY267)&gt;50,"",IF(COUNTIF(AY4:AY270,AY267)&gt;=MAX(D4:D8),AY267+4,AY267))</f>
        <v>#VALUE!</v>
      </c>
      <c r="AZ271" s="76" t="e">
        <f>IF(AY271="","",VLOOKUP(AY271,S4:U53,3,0))</f>
        <v>#VALUE!</v>
      </c>
      <c r="BA271" s="8" t="str">
        <f t="shared" si="213"/>
        <v/>
      </c>
      <c r="BC271" s="71" t="e">
        <f t="shared" si="214"/>
        <v>#VALUE!</v>
      </c>
      <c r="BD271" s="71" t="str">
        <f>IF(OR(COUNTBLANK(BG271)=1,ISERROR(BG271)),"",COUNT(BG4:BG271))</f>
        <v/>
      </c>
      <c r="BE271" s="7" t="e">
        <f t="shared" si="215"/>
        <v>#VALUE!</v>
      </c>
      <c r="BF271" s="1" t="str">
        <f>IF(ISERROR(INDEX(C4:C8,MATCH(J271,D4:D8,0))),"",INDEX(C4:C8,MATCH(J271,D4:D8,0)))</f>
        <v/>
      </c>
      <c r="BG271" s="79" t="e">
        <f>IF(IF(COUNTIF(BG4:BG270,BG266)&gt;=MAX(D4:D8),BG266+5,BG266)&gt;50,"",IF(COUNTIF(BG4:BG270,BG266)&gt;=MAX(D4:D8),BG266+5,BG266))</f>
        <v>#VALUE!</v>
      </c>
      <c r="BH271" s="76" t="e">
        <f>IF(BG271="","",VLOOKUP(BG271,S4:U53,3,0))</f>
        <v>#VALUE!</v>
      </c>
      <c r="BI271" s="8" t="str">
        <f t="shared" si="216"/>
        <v/>
      </c>
      <c r="BP271" s="71" t="e">
        <f t="shared" si="202"/>
        <v>#VALUE!</v>
      </c>
      <c r="BQ271" s="71" t="str">
        <f>IF(OR(COUNTBLANK(BT271)=1,ISERROR(BT271)),"",COUNT(BT4:BT271))</f>
        <v/>
      </c>
      <c r="BR271" s="7" t="e">
        <f t="shared" si="218"/>
        <v>#VALUE!</v>
      </c>
      <c r="BS271" s="1" t="str">
        <f t="shared" si="219"/>
        <v/>
      </c>
      <c r="BT271" s="79" t="e">
        <f>IF(IF(COUNTIF($BT$4:BT270,BT270)&gt;=MAX($D$4:$D$8),BT270+1,BT270)&gt;55,"",IF(COUNTIF($BT$4:BT270,BT270)&gt;=MAX($D$4:$D$8),BT270+1,BT270))</f>
        <v>#VALUE!</v>
      </c>
      <c r="BU271" s="1" t="e">
        <f t="shared" si="220"/>
        <v>#VALUE!</v>
      </c>
      <c r="BV271" s="8" t="str">
        <f t="shared" si="221"/>
        <v/>
      </c>
      <c r="BX271" s="71" t="e">
        <f t="shared" si="222"/>
        <v>#VALUE!</v>
      </c>
      <c r="BY271" s="71" t="str">
        <f>IF(OR(COUNTBLANK(CB271)=1,ISERROR(CB271)),"",COUNT($CB$4:CB271))</f>
        <v/>
      </c>
      <c r="BZ271" s="7" t="e">
        <f t="shared" si="223"/>
        <v>#VALUE!</v>
      </c>
      <c r="CA271" s="1" t="str">
        <f t="shared" si="224"/>
        <v/>
      </c>
      <c r="CB271" s="79" t="e">
        <f>IF(IF(COUNTIF($CB$4:CB270,CB269)&gt;=MAX($D$4:$D$8),CB269+2,CB269)&gt;55,"",IF(COUNTIF($CB$4:CB270,CB269)&gt;=MAX($D$4:$D$8),CB269+2,CB269))</f>
        <v>#VALUE!</v>
      </c>
      <c r="CC271" s="1" t="e">
        <f t="shared" si="225"/>
        <v>#VALUE!</v>
      </c>
      <c r="CD271" s="8" t="str">
        <f t="shared" si="226"/>
        <v/>
      </c>
      <c r="CF271" s="71" t="e">
        <f t="shared" si="193"/>
        <v>#VALUE!</v>
      </c>
      <c r="CG271" s="71" t="str">
        <f>IF(OR(COUNTBLANK(CJ271)=1,ISERROR(CJ271)),"",COUNT($CJ$4:CJ271))</f>
        <v/>
      </c>
      <c r="CH271" s="7" t="e">
        <f t="shared" si="194"/>
        <v>#VALUE!</v>
      </c>
      <c r="CI271" s="1" t="str">
        <f t="shared" si="195"/>
        <v/>
      </c>
      <c r="CJ271" s="79" t="e">
        <f>IF(IF(COUNTIF($CJ$4:CJ270,CJ268)&gt;=MAX($D$4:$D$8),CJ268+3,CJ268)&gt;55,"",IF(COUNTIF($CJ$4:CJ270,CJ268)&gt;=MAX($D$4:$D$8),CJ268+3,CJ268))</f>
        <v>#VALUE!</v>
      </c>
      <c r="CK271" s="1" t="e">
        <f t="shared" si="227"/>
        <v>#VALUE!</v>
      </c>
      <c r="CL271" s="8" t="str">
        <f t="shared" si="196"/>
        <v/>
      </c>
      <c r="CN271" s="71" t="e">
        <f t="shared" si="233"/>
        <v>#VALUE!</v>
      </c>
      <c r="CO271" s="71" t="str">
        <f>IF(OR(COUNTBLANK(CR271)=1,ISERROR(CR271)),"",COUNT($CR$4:CR271))</f>
        <v/>
      </c>
      <c r="CP271" s="7" t="e">
        <f t="shared" si="234"/>
        <v>#VALUE!</v>
      </c>
      <c r="CQ271" s="1" t="str">
        <f t="shared" si="235"/>
        <v/>
      </c>
      <c r="CR271" s="79" t="e">
        <f>IF(IF(COUNTIF($CR$4:CR270,CR267)&gt;=MAX($D$4:$D$8),CR267+4,CR267)&gt;55,"",IF(COUNTIF($CR$4:CR270,CR267)&gt;=MAX($D$4:$D$8),CR267+4,CR267))</f>
        <v>#VALUE!</v>
      </c>
      <c r="CS271" s="1" t="e">
        <f t="shared" si="228"/>
        <v>#VALUE!</v>
      </c>
      <c r="CT271" s="8" t="str">
        <f t="shared" si="236"/>
        <v/>
      </c>
      <c r="CV271" s="71" t="e">
        <f t="shared" si="197"/>
        <v>#VALUE!</v>
      </c>
      <c r="CW271" s="71" t="str">
        <f>IF(OR(COUNTBLANK(CZ271)=1,ISERROR(CZ271)),"",COUNT($CZ$4:CZ271))</f>
        <v/>
      </c>
      <c r="CX271" s="7" t="e">
        <f t="shared" si="198"/>
        <v>#VALUE!</v>
      </c>
      <c r="CY271" s="1" t="str">
        <f t="shared" si="199"/>
        <v/>
      </c>
      <c r="CZ271" s="79" t="e">
        <f>IF(IF(COUNTIF($CZ$4:CZ270,CZ266)&gt;=MAX($D$4:$D$8),CZ266+5,CZ266)&gt;55,"",IF(COUNTIF($CZ$4:CZ270,CZ266)&gt;=MAX($D$4:$D$8),CZ266+5,CZ266))</f>
        <v>#VALUE!</v>
      </c>
      <c r="DA271" s="1" t="e">
        <f t="shared" si="229"/>
        <v>#VALUE!</v>
      </c>
      <c r="DB271" s="8" t="str">
        <f t="shared" si="200"/>
        <v/>
      </c>
    </row>
    <row r="272" spans="5:106" x14ac:dyDescent="0.15">
      <c r="E272" s="1">
        <v>269</v>
      </c>
      <c r="F272" s="1">
        <f t="shared" si="230"/>
        <v>1</v>
      </c>
      <c r="G272" s="1">
        <f t="shared" si="237"/>
        <v>1</v>
      </c>
      <c r="H272" s="1">
        <f t="shared" si="231"/>
        <v>1</v>
      </c>
      <c r="I272" s="1">
        <f t="shared" si="232"/>
        <v>1</v>
      </c>
      <c r="J272" s="1">
        <f t="shared" si="238"/>
        <v>1</v>
      </c>
      <c r="W272" s="71" t="e">
        <f t="shared" si="201"/>
        <v>#VALUE!</v>
      </c>
      <c r="X272" s="71" t="str">
        <f>IF(OR(COUNTBLANK(AA272)=1,ISERROR(AA272)),"",COUNT(AA4:AA272))</f>
        <v/>
      </c>
      <c r="Y272" s="7" t="e">
        <f t="shared" si="203"/>
        <v>#VALUE!</v>
      </c>
      <c r="Z272" s="1" t="str">
        <f t="shared" si="217"/>
        <v/>
      </c>
      <c r="AA272" s="79" t="e">
        <f>IF(IF(COUNTIF(AA4:AA271,AA271)&gt;=MAX(D4:D8),AA271+1,AA271)&gt;50,"",IF(COUNTIF(AA4:AA271,AA271)&gt;=MAX(D4:D8),AA271+1,AA271))</f>
        <v>#VALUE!</v>
      </c>
      <c r="AB272" s="1" t="e">
        <f>IF(AA272="","",VLOOKUP(AA272,S4:U53,3,0))</f>
        <v>#VALUE!</v>
      </c>
      <c r="AC272" s="8" t="str">
        <f t="shared" si="204"/>
        <v/>
      </c>
      <c r="AE272" s="71" t="e">
        <f t="shared" si="205"/>
        <v>#VALUE!</v>
      </c>
      <c r="AF272" s="71" t="str">
        <f>IF(OR(COUNTBLANK(AI272)=1,ISERROR(AI272)),"",COUNT(AI4:AI272))</f>
        <v/>
      </c>
      <c r="AG272" s="7" t="e">
        <f t="shared" si="206"/>
        <v>#VALUE!</v>
      </c>
      <c r="AH272" s="1" t="str">
        <f>IF(ISERROR(INDEX(C4:C8,MATCH(G272,D4:D8,0))),"",INDEX(C4:C8,MATCH(G272,D4:D8,0)))</f>
        <v/>
      </c>
      <c r="AI272" s="79" t="e">
        <f>IF(IF(COUNTIF(AI4:AI270,AI270)&gt;=MAX(D4:D8),AI270+2,AI270)&gt;50,"",IF(COUNTIF(AI4:AI270,AI270)&gt;=MAX(D4:D8),AI270+2,AI270))</f>
        <v>#VALUE!</v>
      </c>
      <c r="AJ272" s="1" t="e">
        <f>IF(AI272="","",VLOOKUP(AI272,S4:U53,3,0))</f>
        <v>#VALUE!</v>
      </c>
      <c r="AK272" s="8" t="str">
        <f t="shared" si="207"/>
        <v/>
      </c>
      <c r="AM272" s="71" t="e">
        <f t="shared" si="208"/>
        <v>#VALUE!</v>
      </c>
      <c r="AN272" s="71" t="str">
        <f>IF(OR(COUNTBLANK(AQ272)=1,ISERROR(AQ272)),"",COUNT(AQ4:AQ272))</f>
        <v/>
      </c>
      <c r="AO272" s="7" t="e">
        <f t="shared" si="209"/>
        <v>#VALUE!</v>
      </c>
      <c r="AP272" s="1" t="str">
        <f>IF(ISERROR(INDEX(C4:C8,MATCH(H272,D4:D8,0))),"",INDEX(C4:C8,MATCH(H272,D4:D8,0)))</f>
        <v/>
      </c>
      <c r="AQ272" s="79" t="e">
        <f>IF(IF(COUNTIF(AQ4:AQ271,AQ269)&gt;=MAX(D4:D8),AQ269+3,AQ269)&gt;50,"",IF(COUNTIF(AQ4:AQ271,AQ269)&gt;=MAX(D4:D8),AQ269+3,AQ269))</f>
        <v>#VALUE!</v>
      </c>
      <c r="AR272" s="1" t="e">
        <f>IF(AQ272="","",VLOOKUP(AQ272,S4:U53,3,0))</f>
        <v>#VALUE!</v>
      </c>
      <c r="AS272" s="8" t="str">
        <f t="shared" si="210"/>
        <v/>
      </c>
      <c r="AU272" s="71" t="e">
        <f t="shared" si="211"/>
        <v>#VALUE!</v>
      </c>
      <c r="AV272" s="71" t="str">
        <f>IF(OR(COUNTBLANK(AY272)=1,ISERROR(AY272)),"",COUNT(AY4:AY272))</f>
        <v/>
      </c>
      <c r="AW272" s="7" t="e">
        <f t="shared" si="212"/>
        <v>#VALUE!</v>
      </c>
      <c r="AX272" s="1" t="str">
        <f>IF(ISERROR(INDEX(C4:C8,MATCH(I272,D4:D8,0))),"",INDEX(C4:C8,MATCH(I272,D4:D8,0)))</f>
        <v/>
      </c>
      <c r="AY272" s="79" t="e">
        <f>IF(IF(COUNTIF(AY4:AY271,AY268)&gt;=MAX(D4:D8),AY268+4,AY268)&gt;50,"",IF(COUNTIF(AY4:AY271,AY268)&gt;=MAX(D4:D8),AY268+4,AY268))</f>
        <v>#VALUE!</v>
      </c>
      <c r="AZ272" s="76" t="e">
        <f>IF(AY272="","",VLOOKUP(AY272,S4:U53,3,0))</f>
        <v>#VALUE!</v>
      </c>
      <c r="BA272" s="8" t="str">
        <f t="shared" si="213"/>
        <v/>
      </c>
      <c r="BC272" s="71" t="e">
        <f t="shared" si="214"/>
        <v>#VALUE!</v>
      </c>
      <c r="BD272" s="71" t="str">
        <f>IF(OR(COUNTBLANK(BG272)=1,ISERROR(BG272)),"",COUNT(BG4:BG272))</f>
        <v/>
      </c>
      <c r="BE272" s="7" t="e">
        <f t="shared" si="215"/>
        <v>#VALUE!</v>
      </c>
      <c r="BF272" s="1" t="str">
        <f>IF(ISERROR(INDEX(C4:C8,MATCH(J272,D4:D8,0))),"",INDEX(C4:C8,MATCH(J272,D4:D8,0)))</f>
        <v/>
      </c>
      <c r="BG272" s="79" t="e">
        <f>IF(IF(COUNTIF(BG4:BG271,BG267)&gt;=MAX(D4:D8),BG267+5,BG267)&gt;50,"",IF(COUNTIF(BG4:BG271,BG267)&gt;=MAX(D4:D8),BG267+5,BG267))</f>
        <v>#VALUE!</v>
      </c>
      <c r="BH272" s="76" t="e">
        <f>IF(BG272="","",VLOOKUP(BG272,S4:U53,3,0))</f>
        <v>#VALUE!</v>
      </c>
      <c r="BI272" s="8" t="str">
        <f t="shared" si="216"/>
        <v/>
      </c>
      <c r="BP272" s="71" t="e">
        <f t="shared" si="202"/>
        <v>#VALUE!</v>
      </c>
      <c r="BQ272" s="71" t="str">
        <f>IF(OR(COUNTBLANK(BT272)=1,ISERROR(BT272)),"",COUNT(BT4:BT272))</f>
        <v/>
      </c>
      <c r="BR272" s="7" t="e">
        <f t="shared" si="218"/>
        <v>#VALUE!</v>
      </c>
      <c r="BS272" s="1" t="str">
        <f t="shared" si="219"/>
        <v/>
      </c>
      <c r="BT272" s="79" t="e">
        <f>IF(IF(COUNTIF($BT$4:BT271,BT271)&gt;=MAX($D$4:$D$8),BT271+1,BT271)&gt;55,"",IF(COUNTIF($BT$4:BT271,BT271)&gt;=MAX($D$4:$D$8),BT271+1,BT271))</f>
        <v>#VALUE!</v>
      </c>
      <c r="BU272" s="1" t="e">
        <f t="shared" si="220"/>
        <v>#VALUE!</v>
      </c>
      <c r="BV272" s="8" t="str">
        <f t="shared" si="221"/>
        <v/>
      </c>
      <c r="BX272" s="71" t="e">
        <f t="shared" si="222"/>
        <v>#VALUE!</v>
      </c>
      <c r="BY272" s="71" t="str">
        <f>IF(OR(COUNTBLANK(CB272)=1,ISERROR(CB272)),"",COUNT($CB$4:CB272))</f>
        <v/>
      </c>
      <c r="BZ272" s="7" t="e">
        <f t="shared" si="223"/>
        <v>#VALUE!</v>
      </c>
      <c r="CA272" s="1" t="str">
        <f t="shared" si="224"/>
        <v/>
      </c>
      <c r="CB272" s="79" t="e">
        <f>IF(IF(COUNTIF($CB$4:CB271,CB270)&gt;=MAX($D$4:$D$8),CB270+2,CB270)&gt;55,"",IF(COUNTIF($CB$4:CB271,CB270)&gt;=MAX($D$4:$D$8),CB270+2,CB270))</f>
        <v>#VALUE!</v>
      </c>
      <c r="CC272" s="1" t="e">
        <f t="shared" si="225"/>
        <v>#VALUE!</v>
      </c>
      <c r="CD272" s="8" t="str">
        <f t="shared" si="226"/>
        <v/>
      </c>
      <c r="CF272" s="71" t="e">
        <f t="shared" si="193"/>
        <v>#VALUE!</v>
      </c>
      <c r="CG272" s="71" t="str">
        <f>IF(OR(COUNTBLANK(CJ272)=1,ISERROR(CJ272)),"",COUNT($CJ$4:CJ272))</f>
        <v/>
      </c>
      <c r="CH272" s="7" t="e">
        <f t="shared" si="194"/>
        <v>#VALUE!</v>
      </c>
      <c r="CI272" s="1" t="str">
        <f t="shared" si="195"/>
        <v/>
      </c>
      <c r="CJ272" s="79" t="e">
        <f>IF(IF(COUNTIF($CJ$4:CJ271,CJ269)&gt;=MAX($D$4:$D$8),CJ269+3,CJ269)&gt;55,"",IF(COUNTIF($CJ$4:CJ271,CJ269)&gt;=MAX($D$4:$D$8),CJ269+3,CJ269))</f>
        <v>#VALUE!</v>
      </c>
      <c r="CK272" s="1" t="e">
        <f t="shared" si="227"/>
        <v>#VALUE!</v>
      </c>
      <c r="CL272" s="8" t="str">
        <f t="shared" si="196"/>
        <v/>
      </c>
      <c r="CN272" s="71" t="e">
        <f t="shared" si="233"/>
        <v>#VALUE!</v>
      </c>
      <c r="CO272" s="71" t="str">
        <f>IF(OR(COUNTBLANK(CR272)=1,ISERROR(CR272)),"",COUNT($CR$4:CR272))</f>
        <v/>
      </c>
      <c r="CP272" s="7" t="e">
        <f t="shared" si="234"/>
        <v>#VALUE!</v>
      </c>
      <c r="CQ272" s="1" t="str">
        <f t="shared" si="235"/>
        <v/>
      </c>
      <c r="CR272" s="79" t="e">
        <f>IF(IF(COUNTIF($CR$4:CR271,CR268)&gt;=MAX($D$4:$D$8),CR268+4,CR268)&gt;55,"",IF(COUNTIF($CR$4:CR271,CR268)&gt;=MAX($D$4:$D$8),CR268+4,CR268))</f>
        <v>#VALUE!</v>
      </c>
      <c r="CS272" s="1" t="e">
        <f t="shared" si="228"/>
        <v>#VALUE!</v>
      </c>
      <c r="CT272" s="8" t="str">
        <f t="shared" si="236"/>
        <v/>
      </c>
      <c r="CV272" s="71" t="e">
        <f t="shared" si="197"/>
        <v>#VALUE!</v>
      </c>
      <c r="CW272" s="71" t="str">
        <f>IF(OR(COUNTBLANK(CZ272)=1,ISERROR(CZ272)),"",COUNT($CZ$4:CZ272))</f>
        <v/>
      </c>
      <c r="CX272" s="7" t="e">
        <f t="shared" si="198"/>
        <v>#VALUE!</v>
      </c>
      <c r="CY272" s="1" t="str">
        <f t="shared" si="199"/>
        <v/>
      </c>
      <c r="CZ272" s="79" t="e">
        <f>IF(IF(COUNTIF($CZ$4:CZ271,CZ267)&gt;=MAX($D$4:$D$8),CZ267+5,CZ267)&gt;55,"",IF(COUNTIF($CZ$4:CZ271,CZ267)&gt;=MAX($D$4:$D$8),CZ267+5,CZ267))</f>
        <v>#VALUE!</v>
      </c>
      <c r="DA272" s="1" t="e">
        <f t="shared" si="229"/>
        <v>#VALUE!</v>
      </c>
      <c r="DB272" s="8" t="str">
        <f t="shared" si="200"/>
        <v/>
      </c>
    </row>
    <row r="273" spans="5:106" x14ac:dyDescent="0.15">
      <c r="E273" s="1">
        <v>270</v>
      </c>
      <c r="F273" s="1">
        <f t="shared" si="230"/>
        <v>1</v>
      </c>
      <c r="G273" s="1">
        <f t="shared" si="237"/>
        <v>1</v>
      </c>
      <c r="H273" s="1">
        <f t="shared" si="231"/>
        <v>1</v>
      </c>
      <c r="I273" s="1">
        <f t="shared" si="232"/>
        <v>1</v>
      </c>
      <c r="J273" s="1">
        <f t="shared" si="238"/>
        <v>1</v>
      </c>
      <c r="W273" s="71" t="e">
        <f t="shared" si="201"/>
        <v>#VALUE!</v>
      </c>
      <c r="X273" s="71" t="str">
        <f>IF(OR(COUNTBLANK(AA273)=1,ISERROR(AA273)),"",COUNT(AA4:AA273))</f>
        <v/>
      </c>
      <c r="Y273" s="7" t="e">
        <f t="shared" si="203"/>
        <v>#VALUE!</v>
      </c>
      <c r="Z273" s="1" t="str">
        <f t="shared" si="217"/>
        <v/>
      </c>
      <c r="AA273" s="79" t="e">
        <f>IF(IF(COUNTIF(AA4:AA272,AA272)&gt;=MAX(D4:D8),AA272+1,AA272)&gt;50,"",IF(COUNTIF(AA4:AA272,AA272)&gt;=MAX(D4:D8),AA272+1,AA272))</f>
        <v>#VALUE!</v>
      </c>
      <c r="AB273" s="1" t="e">
        <f>IF(AA273="","",VLOOKUP(AA273,S4:U53,3,0))</f>
        <v>#VALUE!</v>
      </c>
      <c r="AC273" s="8" t="str">
        <f t="shared" si="204"/>
        <v/>
      </c>
      <c r="AE273" s="71" t="e">
        <f t="shared" si="205"/>
        <v>#VALUE!</v>
      </c>
      <c r="AF273" s="71" t="str">
        <f>IF(OR(COUNTBLANK(AI273)=1,ISERROR(AI273)),"",COUNT(AI4:AI273))</f>
        <v/>
      </c>
      <c r="AG273" s="7" t="e">
        <f t="shared" si="206"/>
        <v>#VALUE!</v>
      </c>
      <c r="AH273" s="1" t="str">
        <f>IF(ISERROR(INDEX(C4:C8,MATCH(G273,D4:D8,0))),"",INDEX(C4:C8,MATCH(G273,D4:D8,0)))</f>
        <v/>
      </c>
      <c r="AI273" s="79" t="e">
        <f>IF(IF(COUNTIF(AI4:AI271,AI271)&gt;=MAX(D4:D8),AI271+2,AI271)&gt;50,"",IF(COUNTIF(AI4:AI271,AI271)&gt;=MAX(D4:D8),AI271+2,AI271))</f>
        <v>#VALUE!</v>
      </c>
      <c r="AJ273" s="1" t="e">
        <f>IF(AI273="","",VLOOKUP(AI273,S4:U53,3,0))</f>
        <v>#VALUE!</v>
      </c>
      <c r="AK273" s="8" t="str">
        <f t="shared" si="207"/>
        <v/>
      </c>
      <c r="AM273" s="71" t="e">
        <f t="shared" si="208"/>
        <v>#VALUE!</v>
      </c>
      <c r="AN273" s="71" t="str">
        <f>IF(OR(COUNTBLANK(AQ273)=1,ISERROR(AQ273)),"",COUNT(AQ4:AQ273))</f>
        <v/>
      </c>
      <c r="AO273" s="7" t="e">
        <f t="shared" si="209"/>
        <v>#VALUE!</v>
      </c>
      <c r="AP273" s="1" t="str">
        <f>IF(ISERROR(INDEX(C4:C8,MATCH(H273,D4:D8,0))),"",INDEX(C4:C8,MATCH(H273,D4:D8,0)))</f>
        <v/>
      </c>
      <c r="AQ273" s="79" t="e">
        <f>IF(IF(COUNTIF(AQ4:AQ272,AQ270)&gt;=MAX(D4:D8),AQ270+3,AQ270)&gt;50,"",IF(COUNTIF(AQ4:AQ272,AQ270)&gt;=MAX(D4:D8),AQ270+3,AQ270))</f>
        <v>#VALUE!</v>
      </c>
      <c r="AR273" s="1" t="e">
        <f>IF(AQ273="","",VLOOKUP(AQ273,S4:U53,3,0))</f>
        <v>#VALUE!</v>
      </c>
      <c r="AS273" s="8" t="str">
        <f t="shared" si="210"/>
        <v/>
      </c>
      <c r="AU273" s="71" t="e">
        <f t="shared" si="211"/>
        <v>#VALUE!</v>
      </c>
      <c r="AV273" s="71" t="str">
        <f>IF(OR(COUNTBLANK(AY273)=1,ISERROR(AY273)),"",COUNT(AY4:AY273))</f>
        <v/>
      </c>
      <c r="AW273" s="7" t="e">
        <f t="shared" si="212"/>
        <v>#VALUE!</v>
      </c>
      <c r="AX273" s="1" t="str">
        <f>IF(ISERROR(INDEX(C4:C8,MATCH(I273,D4:D8,0))),"",INDEX(C4:C8,MATCH(I273,D4:D8,0)))</f>
        <v/>
      </c>
      <c r="AY273" s="79" t="e">
        <f>IF(IF(COUNTIF(AY4:AY272,AY269)&gt;=MAX(D4:D8),AY269+4,AY269)&gt;50,"",IF(COUNTIF(AY4:AY272,AY269)&gt;=MAX(D4:D8),AY269+4,AY269))</f>
        <v>#VALUE!</v>
      </c>
      <c r="AZ273" s="76" t="e">
        <f>IF(AY273="","",VLOOKUP(AY273,S4:U53,3,0))</f>
        <v>#VALUE!</v>
      </c>
      <c r="BA273" s="8" t="str">
        <f t="shared" si="213"/>
        <v/>
      </c>
      <c r="BC273" s="71" t="e">
        <f t="shared" si="214"/>
        <v>#VALUE!</v>
      </c>
      <c r="BD273" s="71" t="str">
        <f>IF(OR(COUNTBLANK(BG273)=1,ISERROR(BG273)),"",COUNT(BG4:BG273))</f>
        <v/>
      </c>
      <c r="BE273" s="7" t="e">
        <f t="shared" si="215"/>
        <v>#VALUE!</v>
      </c>
      <c r="BF273" s="1" t="str">
        <f>IF(ISERROR(INDEX(C4:C8,MATCH(J273,D4:D8,0))),"",INDEX(C4:C8,MATCH(J273,D4:D8,0)))</f>
        <v/>
      </c>
      <c r="BG273" s="79" t="e">
        <f>IF(IF(COUNTIF(BG4:BG272,BG268)&gt;=MAX(D4:D8),BG268+5,BG268)&gt;50,"",IF(COUNTIF(BG4:BG272,BG268)&gt;=MAX(D4:D8),BG268+5,BG268))</f>
        <v>#VALUE!</v>
      </c>
      <c r="BH273" s="76" t="e">
        <f>IF(BG273="","",VLOOKUP(BG273,S4:U53,3,0))</f>
        <v>#VALUE!</v>
      </c>
      <c r="BI273" s="8" t="str">
        <f t="shared" si="216"/>
        <v/>
      </c>
      <c r="BP273" s="71" t="e">
        <f t="shared" si="202"/>
        <v>#VALUE!</v>
      </c>
      <c r="BQ273" s="71" t="str">
        <f>IF(OR(COUNTBLANK(BT273)=1,ISERROR(BT273)),"",COUNT(BT4:BT273))</f>
        <v/>
      </c>
      <c r="BR273" s="7" t="e">
        <f t="shared" si="218"/>
        <v>#VALUE!</v>
      </c>
      <c r="BS273" s="1" t="str">
        <f t="shared" si="219"/>
        <v/>
      </c>
      <c r="BT273" s="79" t="e">
        <f>IF(IF(COUNTIF($BT$4:BT272,BT272)&gt;=MAX($D$4:$D$8),BT272+1,BT272)&gt;55,"",IF(COUNTIF($BT$4:BT272,BT272)&gt;=MAX($D$4:$D$8),BT272+1,BT272))</f>
        <v>#VALUE!</v>
      </c>
      <c r="BU273" s="1" t="e">
        <f t="shared" si="220"/>
        <v>#VALUE!</v>
      </c>
      <c r="BV273" s="8" t="str">
        <f t="shared" si="221"/>
        <v/>
      </c>
      <c r="BX273" s="71" t="e">
        <f t="shared" si="222"/>
        <v>#VALUE!</v>
      </c>
      <c r="BY273" s="71" t="str">
        <f>IF(OR(COUNTBLANK(CB273)=1,ISERROR(CB273)),"",COUNT($CB$4:CB273))</f>
        <v/>
      </c>
      <c r="BZ273" s="7" t="e">
        <f t="shared" si="223"/>
        <v>#VALUE!</v>
      </c>
      <c r="CA273" s="1" t="str">
        <f t="shared" si="224"/>
        <v/>
      </c>
      <c r="CB273" s="79" t="e">
        <f>IF(IF(COUNTIF($CB$4:CB272,CB271)&gt;=MAX($D$4:$D$8),CB271+2,CB271)&gt;55,"",IF(COUNTIF($CB$4:CB272,CB271)&gt;=MAX($D$4:$D$8),CB271+2,CB271))</f>
        <v>#VALUE!</v>
      </c>
      <c r="CC273" s="1" t="e">
        <f t="shared" si="225"/>
        <v>#VALUE!</v>
      </c>
      <c r="CD273" s="8" t="str">
        <f t="shared" si="226"/>
        <v/>
      </c>
      <c r="CF273" s="71" t="e">
        <f t="shared" si="193"/>
        <v>#VALUE!</v>
      </c>
      <c r="CG273" s="71" t="str">
        <f>IF(OR(COUNTBLANK(CJ273)=1,ISERROR(CJ273)),"",COUNT($CJ$4:CJ273))</f>
        <v/>
      </c>
      <c r="CH273" s="7" t="e">
        <f t="shared" si="194"/>
        <v>#VALUE!</v>
      </c>
      <c r="CI273" s="1" t="str">
        <f t="shared" si="195"/>
        <v/>
      </c>
      <c r="CJ273" s="79" t="e">
        <f>IF(IF(COUNTIF($CJ$4:CJ272,CJ270)&gt;=MAX($D$4:$D$8),CJ270+3,CJ270)&gt;55,"",IF(COUNTIF($CJ$4:CJ272,CJ270)&gt;=MAX($D$4:$D$8),CJ270+3,CJ270))</f>
        <v>#VALUE!</v>
      </c>
      <c r="CK273" s="1" t="e">
        <f t="shared" si="227"/>
        <v>#VALUE!</v>
      </c>
      <c r="CL273" s="8" t="str">
        <f t="shared" si="196"/>
        <v/>
      </c>
      <c r="CN273" s="71" t="e">
        <f t="shared" si="233"/>
        <v>#VALUE!</v>
      </c>
      <c r="CO273" s="71" t="str">
        <f>IF(OR(COUNTBLANK(CR273)=1,ISERROR(CR273)),"",COUNT($CR$4:CR273))</f>
        <v/>
      </c>
      <c r="CP273" s="7" t="e">
        <f t="shared" si="234"/>
        <v>#VALUE!</v>
      </c>
      <c r="CQ273" s="1" t="str">
        <f t="shared" si="235"/>
        <v/>
      </c>
      <c r="CR273" s="79" t="e">
        <f>IF(IF(COUNTIF($CR$4:CR272,CR269)&gt;=MAX($D$4:$D$8),CR269+4,CR269)&gt;55,"",IF(COUNTIF($CR$4:CR272,CR269)&gt;=MAX($D$4:$D$8),CR269+4,CR269))</f>
        <v>#VALUE!</v>
      </c>
      <c r="CS273" s="1" t="e">
        <f t="shared" si="228"/>
        <v>#VALUE!</v>
      </c>
      <c r="CT273" s="8" t="str">
        <f t="shared" si="236"/>
        <v/>
      </c>
      <c r="CV273" s="71" t="e">
        <f t="shared" si="197"/>
        <v>#VALUE!</v>
      </c>
      <c r="CW273" s="71" t="str">
        <f>IF(OR(COUNTBLANK(CZ273)=1,ISERROR(CZ273)),"",COUNT($CZ$4:CZ273))</f>
        <v/>
      </c>
      <c r="CX273" s="7" t="e">
        <f t="shared" si="198"/>
        <v>#VALUE!</v>
      </c>
      <c r="CY273" s="1" t="str">
        <f t="shared" si="199"/>
        <v/>
      </c>
      <c r="CZ273" s="79" t="e">
        <f>IF(IF(COUNTIF($CZ$4:CZ272,CZ268)&gt;=MAX($D$4:$D$8),CZ268+5,CZ268)&gt;55,"",IF(COUNTIF($CZ$4:CZ272,CZ268)&gt;=MAX($D$4:$D$8),CZ268+5,CZ268))</f>
        <v>#VALUE!</v>
      </c>
      <c r="DA273" s="1" t="e">
        <f t="shared" si="229"/>
        <v>#VALUE!</v>
      </c>
      <c r="DB273" s="8" t="str">
        <f t="shared" si="200"/>
        <v/>
      </c>
    </row>
    <row r="274" spans="5:106" x14ac:dyDescent="0.15">
      <c r="E274" s="1">
        <v>271</v>
      </c>
      <c r="F274" s="1">
        <f t="shared" si="230"/>
        <v>1</v>
      </c>
      <c r="G274" s="1">
        <f t="shared" si="237"/>
        <v>1</v>
      </c>
      <c r="H274" s="1">
        <f t="shared" si="231"/>
        <v>1</v>
      </c>
      <c r="I274" s="1">
        <f t="shared" si="232"/>
        <v>1</v>
      </c>
      <c r="J274" s="1">
        <f t="shared" si="238"/>
        <v>1</v>
      </c>
      <c r="W274" s="71" t="e">
        <f t="shared" si="201"/>
        <v>#VALUE!</v>
      </c>
      <c r="X274" s="71" t="str">
        <f>IF(OR(COUNTBLANK(AA274)=1,ISERROR(AA274)),"",COUNT(AA4:AA274))</f>
        <v/>
      </c>
      <c r="Y274" s="7" t="e">
        <f t="shared" si="203"/>
        <v>#VALUE!</v>
      </c>
      <c r="Z274" s="1" t="str">
        <f t="shared" si="217"/>
        <v/>
      </c>
      <c r="AA274" s="79" t="e">
        <f>IF(IF(COUNTIF(AA4:AA273,AA273)&gt;=MAX(D4:D8),AA273+1,AA273)&gt;50,"",IF(COUNTIF(AA4:AA273,AA273)&gt;=MAX(D4:D8),AA273+1,AA273))</f>
        <v>#VALUE!</v>
      </c>
      <c r="AB274" s="1" t="e">
        <f>IF(AA274="","",VLOOKUP(AA274,S4:U53,3,0))</f>
        <v>#VALUE!</v>
      </c>
      <c r="AC274" s="8" t="str">
        <f t="shared" si="204"/>
        <v/>
      </c>
      <c r="AE274" s="71" t="e">
        <f t="shared" si="205"/>
        <v>#VALUE!</v>
      </c>
      <c r="AF274" s="71" t="str">
        <f>IF(OR(COUNTBLANK(AI274)=1,ISERROR(AI274)),"",COUNT(AI4:AI274))</f>
        <v/>
      </c>
      <c r="AG274" s="7" t="e">
        <f t="shared" si="206"/>
        <v>#VALUE!</v>
      </c>
      <c r="AH274" s="1" t="str">
        <f>IF(ISERROR(INDEX(C4:C8,MATCH(G274,D4:D8,0))),"",INDEX(C4:C8,MATCH(G274,D4:D8,0)))</f>
        <v/>
      </c>
      <c r="AI274" s="79" t="e">
        <f>IF(IF(COUNTIF(AI4:AI272,AI272)&gt;=MAX(D4:D8),AI272+2,AI272)&gt;50,"",IF(COUNTIF(AI4:AI272,AI272)&gt;=MAX(D4:D8),AI272+2,AI272))</f>
        <v>#VALUE!</v>
      </c>
      <c r="AJ274" s="1" t="e">
        <f>IF(AI274="","",VLOOKUP(AI274,S4:U53,3,0))</f>
        <v>#VALUE!</v>
      </c>
      <c r="AK274" s="8" t="str">
        <f t="shared" si="207"/>
        <v/>
      </c>
      <c r="AM274" s="71" t="e">
        <f t="shared" si="208"/>
        <v>#VALUE!</v>
      </c>
      <c r="AN274" s="71" t="str">
        <f>IF(OR(COUNTBLANK(AQ274)=1,ISERROR(AQ274)),"",COUNT(AQ4:AQ274))</f>
        <v/>
      </c>
      <c r="AO274" s="7" t="e">
        <f t="shared" si="209"/>
        <v>#VALUE!</v>
      </c>
      <c r="AP274" s="1" t="str">
        <f>IF(ISERROR(INDEX(C4:C8,MATCH(H274,D4:D8,0))),"",INDEX(C4:C8,MATCH(H274,D4:D8,0)))</f>
        <v/>
      </c>
      <c r="AQ274" s="79" t="e">
        <f>IF(IF(COUNTIF(AQ4:AQ273,AQ271)&gt;=MAX(D4:D8),AQ271+3,AQ271)&gt;50,"",IF(COUNTIF(AQ4:AQ273,AQ271)&gt;=MAX(D4:D8),AQ271+3,AQ271))</f>
        <v>#VALUE!</v>
      </c>
      <c r="AR274" s="1" t="e">
        <f>IF(AQ274="","",VLOOKUP(AQ274,S4:U53,3,0))</f>
        <v>#VALUE!</v>
      </c>
      <c r="AS274" s="8" t="str">
        <f t="shared" si="210"/>
        <v/>
      </c>
      <c r="AU274" s="71" t="e">
        <f t="shared" si="211"/>
        <v>#VALUE!</v>
      </c>
      <c r="AV274" s="71" t="str">
        <f>IF(OR(COUNTBLANK(AY274)=1,ISERROR(AY274)),"",COUNT(AY4:AY274))</f>
        <v/>
      </c>
      <c r="AW274" s="7" t="e">
        <f t="shared" si="212"/>
        <v>#VALUE!</v>
      </c>
      <c r="AX274" s="1" t="str">
        <f>IF(ISERROR(INDEX(C4:C8,MATCH(I274,D4:D8,0))),"",INDEX(C4:C8,MATCH(I274,D4:D8,0)))</f>
        <v/>
      </c>
      <c r="AY274" s="79" t="e">
        <f>IF(IF(COUNTIF(AY4:AY273,AY270)&gt;=MAX(D4:D8),AY270+4,AY270)&gt;50,"",IF(COUNTIF(AY4:AY273,AY270)&gt;=MAX(D4:D8),AY270+4,AY270))</f>
        <v>#VALUE!</v>
      </c>
      <c r="AZ274" s="76" t="e">
        <f>IF(AY274="","",VLOOKUP(AY274,S4:U53,3,0))</f>
        <v>#VALUE!</v>
      </c>
      <c r="BA274" s="8" t="str">
        <f t="shared" si="213"/>
        <v/>
      </c>
      <c r="BC274" s="71" t="e">
        <f t="shared" si="214"/>
        <v>#VALUE!</v>
      </c>
      <c r="BD274" s="71" t="str">
        <f>IF(OR(COUNTBLANK(BG274)=1,ISERROR(BG274)),"",COUNT(BG4:BG274))</f>
        <v/>
      </c>
      <c r="BE274" s="7" t="e">
        <f t="shared" si="215"/>
        <v>#VALUE!</v>
      </c>
      <c r="BF274" s="1" t="str">
        <f>IF(ISERROR(INDEX(C4:C8,MATCH(J274,D4:D8,0))),"",INDEX(C4:C8,MATCH(J274,D4:D8,0)))</f>
        <v/>
      </c>
      <c r="BG274" s="79" t="e">
        <f>IF(IF(COUNTIF(BG4:BG273,BG269)&gt;=MAX(D4:D8),BG269+5,BG269)&gt;50,"",IF(COUNTIF(BG4:BG273,BG269)&gt;=MAX(D4:D8),BG269+5,BG269))</f>
        <v>#VALUE!</v>
      </c>
      <c r="BH274" s="76" t="e">
        <f>IF(BG274="","",VLOOKUP(BG274,S4:U53,3,0))</f>
        <v>#VALUE!</v>
      </c>
      <c r="BI274" s="8" t="str">
        <f t="shared" si="216"/>
        <v/>
      </c>
      <c r="BP274" s="71" t="e">
        <f t="shared" si="202"/>
        <v>#VALUE!</v>
      </c>
      <c r="BQ274" s="71" t="str">
        <f>IF(OR(COUNTBLANK(BT274)=1,ISERROR(BT274)),"",COUNT(BT4:BT274))</f>
        <v/>
      </c>
      <c r="BR274" s="7" t="e">
        <f t="shared" si="218"/>
        <v>#VALUE!</v>
      </c>
      <c r="BS274" s="1" t="str">
        <f t="shared" si="219"/>
        <v/>
      </c>
      <c r="BT274" s="79" t="e">
        <f>IF(IF(COUNTIF($BT$4:BT273,BT273)&gt;=MAX($D$4:$D$8),BT273+1,BT273)&gt;55,"",IF(COUNTIF($BT$4:BT273,BT273)&gt;=MAX($D$4:$D$8),BT273+1,BT273))</f>
        <v>#VALUE!</v>
      </c>
      <c r="BU274" s="1" t="e">
        <f t="shared" si="220"/>
        <v>#VALUE!</v>
      </c>
      <c r="BV274" s="8" t="str">
        <f t="shared" si="221"/>
        <v/>
      </c>
      <c r="BX274" s="71" t="e">
        <f t="shared" si="222"/>
        <v>#VALUE!</v>
      </c>
      <c r="BY274" s="71" t="str">
        <f>IF(OR(COUNTBLANK(CB274)=1,ISERROR(CB274)),"",COUNT($CB$4:CB274))</f>
        <v/>
      </c>
      <c r="BZ274" s="7" t="e">
        <f t="shared" si="223"/>
        <v>#VALUE!</v>
      </c>
      <c r="CA274" s="1" t="str">
        <f t="shared" si="224"/>
        <v/>
      </c>
      <c r="CB274" s="79" t="e">
        <f>IF(IF(COUNTIF($CB$4:CB273,CB272)&gt;=MAX($D$4:$D$8),CB272+2,CB272)&gt;55,"",IF(COUNTIF($CB$4:CB273,CB272)&gt;=MAX($D$4:$D$8),CB272+2,CB272))</f>
        <v>#VALUE!</v>
      </c>
      <c r="CC274" s="1" t="e">
        <f t="shared" si="225"/>
        <v>#VALUE!</v>
      </c>
      <c r="CD274" s="8" t="str">
        <f t="shared" si="226"/>
        <v/>
      </c>
      <c r="CF274" s="71" t="e">
        <f t="shared" ref="CF274:CF278" si="239">IF(CJ274="","",CJ274*10+H274)</f>
        <v>#VALUE!</v>
      </c>
      <c r="CG274" s="71" t="str">
        <f>IF(OR(COUNTBLANK(CJ274)=1,ISERROR(CJ274)),"",COUNT($CJ$4:CJ274))</f>
        <v/>
      </c>
      <c r="CH274" s="7" t="e">
        <f t="shared" ref="CH274:CH278" si="240">IF(CJ274&gt;25,"ナビ・","1・2年のWナビ・")</f>
        <v>#VALUE!</v>
      </c>
      <c r="CI274" s="1" t="str">
        <f t="shared" ref="CI274:CI278" si="241">IF(ISERROR(INDEX($C$4:$C$8,MATCH(H274,$D$4:$D$8,0))),"",INDEX($C$4:$C$8,MATCH(H274,$D$4:$D$8,0)))</f>
        <v/>
      </c>
      <c r="CJ274" s="79" t="e">
        <f>IF(IF(COUNTIF($CJ$4:CJ273,CJ271)&gt;=MAX($D$4:$D$8),CJ271+3,CJ271)&gt;55,"",IF(COUNTIF($CJ$4:CJ273,CJ271)&gt;=MAX($D$4:$D$8),CJ271+3,CJ271))</f>
        <v>#VALUE!</v>
      </c>
      <c r="CK274" s="1" t="e">
        <f t="shared" si="227"/>
        <v>#VALUE!</v>
      </c>
      <c r="CL274" s="8" t="str">
        <f t="shared" ref="CL274:CL278" si="242">IF(ISERROR(IF(COUNTIF(CI274:CK274,"")&gt;=1,"",CH274&amp;CI274&amp;"【"&amp;VLOOKUP(CJ274,$BL$4:$BN$58,2,0)&amp;"】"&amp;CK274)),"",IF(COUNTIF(CI274:CK274,"")&gt;=1,"",CH274&amp;CI274&amp;"【"&amp;VLOOKUP(CJ274,$BL$4:$BN$58,2,0)&amp;"】"&amp;CK274))</f>
        <v/>
      </c>
      <c r="CN274" s="71" t="e">
        <f t="shared" si="233"/>
        <v>#VALUE!</v>
      </c>
      <c r="CO274" s="71" t="str">
        <f>IF(OR(COUNTBLANK(CR274)=1,ISERROR(CR274)),"",COUNT($CR$4:CR274))</f>
        <v/>
      </c>
      <c r="CP274" s="7" t="e">
        <f t="shared" si="234"/>
        <v>#VALUE!</v>
      </c>
      <c r="CQ274" s="1" t="str">
        <f t="shared" si="235"/>
        <v/>
      </c>
      <c r="CR274" s="79" t="e">
        <f>IF(IF(COUNTIF($CR$4:CR273,CR270)&gt;=MAX($D$4:$D$8),CR270+4,CR270)&gt;55,"",IF(COUNTIF($CR$4:CR273,CR270)&gt;=MAX($D$4:$D$8),CR270+4,CR270))</f>
        <v>#VALUE!</v>
      </c>
      <c r="CS274" s="1" t="e">
        <f t="shared" si="228"/>
        <v>#VALUE!</v>
      </c>
      <c r="CT274" s="8" t="str">
        <f t="shared" si="236"/>
        <v/>
      </c>
      <c r="CV274" s="71" t="e">
        <f t="shared" si="197"/>
        <v>#VALUE!</v>
      </c>
      <c r="CW274" s="71" t="str">
        <f>IF(OR(COUNTBLANK(CZ274)=1,ISERROR(CZ274)),"",COUNT($CZ$4:CZ274))</f>
        <v/>
      </c>
      <c r="CX274" s="7" t="e">
        <f t="shared" si="198"/>
        <v>#VALUE!</v>
      </c>
      <c r="CY274" s="1" t="str">
        <f t="shared" si="199"/>
        <v/>
      </c>
      <c r="CZ274" s="79" t="e">
        <f>IF(IF(COUNTIF($CZ$4:CZ273,CZ269)&gt;=MAX($D$4:$D$8),CZ269+5,CZ269)&gt;55,"",IF(COUNTIF($CZ$4:CZ273,CZ269)&gt;=MAX($D$4:$D$8),CZ269+5,CZ269))</f>
        <v>#VALUE!</v>
      </c>
      <c r="DA274" s="1" t="e">
        <f t="shared" si="229"/>
        <v>#VALUE!</v>
      </c>
      <c r="DB274" s="8" t="str">
        <f t="shared" si="200"/>
        <v/>
      </c>
    </row>
    <row r="275" spans="5:106" x14ac:dyDescent="0.15">
      <c r="E275" s="1">
        <v>272</v>
      </c>
      <c r="F275" s="1">
        <f t="shared" si="230"/>
        <v>1</v>
      </c>
      <c r="G275" s="1">
        <f t="shared" si="237"/>
        <v>1</v>
      </c>
      <c r="H275" s="1">
        <f t="shared" si="231"/>
        <v>1</v>
      </c>
      <c r="I275" s="1">
        <f t="shared" si="232"/>
        <v>1</v>
      </c>
      <c r="J275" s="1">
        <f t="shared" si="238"/>
        <v>1</v>
      </c>
      <c r="W275" s="71" t="e">
        <f t="shared" si="201"/>
        <v>#VALUE!</v>
      </c>
      <c r="X275" s="71" t="str">
        <f>IF(OR(COUNTBLANK(AA275)=1,ISERROR(AA275)),"",COUNT(AA4:AA275))</f>
        <v/>
      </c>
      <c r="Y275" s="7" t="e">
        <f t="shared" si="203"/>
        <v>#VALUE!</v>
      </c>
      <c r="Z275" s="1" t="str">
        <f t="shared" si="217"/>
        <v/>
      </c>
      <c r="AA275" s="79" t="e">
        <f>IF(IF(COUNTIF(AA4:AA274,AA274)&gt;=MAX(D4:D8),AA274+1,AA274)&gt;50,"",IF(COUNTIF(AA4:AA274,AA274)&gt;=MAX(D4:D8),AA274+1,AA274))</f>
        <v>#VALUE!</v>
      </c>
      <c r="AB275" s="1" t="e">
        <f>IF(AA275="","",VLOOKUP(AA275,S4:U53,3,0))</f>
        <v>#VALUE!</v>
      </c>
      <c r="AC275" s="8" t="str">
        <f t="shared" si="204"/>
        <v/>
      </c>
      <c r="AE275" s="71" t="e">
        <f t="shared" si="205"/>
        <v>#VALUE!</v>
      </c>
      <c r="AF275" s="71" t="str">
        <f>IF(OR(COUNTBLANK(AI275)=1,ISERROR(AI275)),"",COUNT(AI4:AI275))</f>
        <v/>
      </c>
      <c r="AG275" s="7" t="e">
        <f t="shared" si="206"/>
        <v>#VALUE!</v>
      </c>
      <c r="AH275" s="1" t="str">
        <f>IF(ISERROR(INDEX(C4:C8,MATCH(G275,D4:D8,0))),"",INDEX(C4:C8,MATCH(G275,D4:D8,0)))</f>
        <v/>
      </c>
      <c r="AI275" s="79" t="e">
        <f>IF(IF(COUNTIF(AI4:AI273,AI273)&gt;=MAX(D4:D8),AI273+2,AI273)&gt;50,"",IF(COUNTIF(AI4:AI273,AI273)&gt;=MAX(D4:D8),AI273+2,AI273))</f>
        <v>#VALUE!</v>
      </c>
      <c r="AJ275" s="1" t="e">
        <f>IF(AI275="","",VLOOKUP(AI275,S4:U53,3,0))</f>
        <v>#VALUE!</v>
      </c>
      <c r="AK275" s="8" t="str">
        <f t="shared" si="207"/>
        <v/>
      </c>
      <c r="AM275" s="71" t="e">
        <f t="shared" si="208"/>
        <v>#VALUE!</v>
      </c>
      <c r="AN275" s="71" t="str">
        <f>IF(OR(COUNTBLANK(AQ275)=1,ISERROR(AQ275)),"",COUNT(AQ4:AQ275))</f>
        <v/>
      </c>
      <c r="AO275" s="7" t="e">
        <f t="shared" si="209"/>
        <v>#VALUE!</v>
      </c>
      <c r="AP275" s="1" t="str">
        <f>IF(ISERROR(INDEX(C4:C8,MATCH(H275,D4:D8,0))),"",INDEX(C4:C8,MATCH(H275,D4:D8,0)))</f>
        <v/>
      </c>
      <c r="AQ275" s="79" t="e">
        <f>IF(IF(COUNTIF(AQ4:AQ274,AQ272)&gt;=MAX(D4:D8),AQ272+3,AQ272)&gt;50,"",IF(COUNTIF(AQ4:AQ274,AQ272)&gt;=MAX(D4:D8),AQ272+3,AQ272))</f>
        <v>#VALUE!</v>
      </c>
      <c r="AR275" s="1" t="e">
        <f>IF(AQ275="","",VLOOKUP(AQ275,S4:U53,3,0))</f>
        <v>#VALUE!</v>
      </c>
      <c r="AS275" s="8" t="str">
        <f t="shared" si="210"/>
        <v/>
      </c>
      <c r="AU275" s="71" t="e">
        <f t="shared" si="211"/>
        <v>#VALUE!</v>
      </c>
      <c r="AV275" s="71" t="str">
        <f>IF(OR(COUNTBLANK(AY275)=1,ISERROR(AY275)),"",COUNT(AY4:AY275))</f>
        <v/>
      </c>
      <c r="AW275" s="7" t="e">
        <f t="shared" si="212"/>
        <v>#VALUE!</v>
      </c>
      <c r="AX275" s="1" t="str">
        <f>IF(ISERROR(INDEX(C4:C8,MATCH(I275,D4:D8,0))),"",INDEX(C4:C8,MATCH(I275,D4:D8,0)))</f>
        <v/>
      </c>
      <c r="AY275" s="79" t="e">
        <f>IF(IF(COUNTIF(AY4:AY274,AY271)&gt;=MAX(D4:D8),AY271+4,AY271)&gt;50,"",IF(COUNTIF(AY4:AY274,AY271)&gt;=MAX(D4:D8),AY271+4,AY271))</f>
        <v>#VALUE!</v>
      </c>
      <c r="AZ275" s="76" t="e">
        <f>IF(AY275="","",VLOOKUP(AY275,S4:U53,3,0))</f>
        <v>#VALUE!</v>
      </c>
      <c r="BA275" s="8" t="str">
        <f t="shared" si="213"/>
        <v/>
      </c>
      <c r="BC275" s="71" t="e">
        <f t="shared" si="214"/>
        <v>#VALUE!</v>
      </c>
      <c r="BD275" s="71" t="str">
        <f>IF(OR(COUNTBLANK(BG275)=1,ISERROR(BG275)),"",COUNT(BG4:BG275))</f>
        <v/>
      </c>
      <c r="BE275" s="7" t="e">
        <f t="shared" si="215"/>
        <v>#VALUE!</v>
      </c>
      <c r="BF275" s="1" t="str">
        <f>IF(ISERROR(INDEX(C4:C8,MATCH(J275,D4:D8,0))),"",INDEX(C4:C8,MATCH(J275,D4:D8,0)))</f>
        <v/>
      </c>
      <c r="BG275" s="79" t="e">
        <f>IF(IF(COUNTIF(BG4:BG274,BG270)&gt;=MAX(D4:D8),BG270+5,BG270)&gt;50,"",IF(COUNTIF(BG4:BG274,BG270)&gt;=MAX(D4:D8),BG270+5,BG270))</f>
        <v>#VALUE!</v>
      </c>
      <c r="BH275" s="76" t="e">
        <f>IF(BG275="","",VLOOKUP(BG275,S4:U53,3,0))</f>
        <v>#VALUE!</v>
      </c>
      <c r="BI275" s="8" t="str">
        <f t="shared" si="216"/>
        <v/>
      </c>
      <c r="BP275" s="71" t="e">
        <f t="shared" si="202"/>
        <v>#VALUE!</v>
      </c>
      <c r="BQ275" s="71" t="str">
        <f>IF(OR(COUNTBLANK(BT275)=1,ISERROR(BT275)),"",COUNT(BT4:BT275))</f>
        <v/>
      </c>
      <c r="BR275" s="7" t="e">
        <f t="shared" si="218"/>
        <v>#VALUE!</v>
      </c>
      <c r="BS275" s="1" t="str">
        <f t="shared" si="219"/>
        <v/>
      </c>
      <c r="BT275" s="79" t="e">
        <f>IF(IF(COUNTIF($BT$4:BT274,BT274)&gt;=MAX($D$4:$D$8),BT274+1,BT274)&gt;55,"",IF(COUNTIF($BT$4:BT274,BT274)&gt;=MAX($D$4:$D$8),BT274+1,BT274))</f>
        <v>#VALUE!</v>
      </c>
      <c r="BU275" s="1" t="e">
        <f t="shared" si="220"/>
        <v>#VALUE!</v>
      </c>
      <c r="BV275" s="8" t="str">
        <f t="shared" si="221"/>
        <v/>
      </c>
      <c r="BX275" s="71" t="e">
        <f t="shared" si="222"/>
        <v>#VALUE!</v>
      </c>
      <c r="BY275" s="71" t="str">
        <f>IF(OR(COUNTBLANK(CB275)=1,ISERROR(CB275)),"",COUNT($CB$4:CB275))</f>
        <v/>
      </c>
      <c r="BZ275" s="7" t="e">
        <f t="shared" si="223"/>
        <v>#VALUE!</v>
      </c>
      <c r="CA275" s="1" t="str">
        <f t="shared" si="224"/>
        <v/>
      </c>
      <c r="CB275" s="79" t="e">
        <f>IF(IF(COUNTIF($CB$4:CB274,CB273)&gt;=MAX($D$4:$D$8),CB273+2,CB273)&gt;55,"",IF(COUNTIF($CB$4:CB274,CB273)&gt;=MAX($D$4:$D$8),CB273+2,CB273))</f>
        <v>#VALUE!</v>
      </c>
      <c r="CC275" s="1" t="e">
        <f t="shared" si="225"/>
        <v>#VALUE!</v>
      </c>
      <c r="CD275" s="8" t="str">
        <f t="shared" si="226"/>
        <v/>
      </c>
      <c r="CF275" s="71" t="e">
        <f t="shared" si="239"/>
        <v>#VALUE!</v>
      </c>
      <c r="CG275" s="71" t="str">
        <f>IF(OR(COUNTBLANK(CJ275)=1,ISERROR(CJ275)),"",COUNT($CJ$4:CJ275))</f>
        <v/>
      </c>
      <c r="CH275" s="7" t="e">
        <f t="shared" si="240"/>
        <v>#VALUE!</v>
      </c>
      <c r="CI275" s="1" t="str">
        <f t="shared" si="241"/>
        <v/>
      </c>
      <c r="CJ275" s="79" t="e">
        <f>IF(IF(COUNTIF($CJ$4:CJ274,CJ272)&gt;=MAX($D$4:$D$8),CJ272+3,CJ272)&gt;55,"",IF(COUNTIF($CJ$4:CJ274,CJ272)&gt;=MAX($D$4:$D$8),CJ272+3,CJ272))</f>
        <v>#VALUE!</v>
      </c>
      <c r="CK275" s="1" t="e">
        <f t="shared" si="227"/>
        <v>#VALUE!</v>
      </c>
      <c r="CL275" s="8" t="str">
        <f t="shared" si="242"/>
        <v/>
      </c>
      <c r="CN275" s="71" t="e">
        <f t="shared" si="233"/>
        <v>#VALUE!</v>
      </c>
      <c r="CO275" s="71" t="str">
        <f>IF(OR(COUNTBLANK(CR275)=1,ISERROR(CR275)),"",COUNT($CR$4:CR275))</f>
        <v/>
      </c>
      <c r="CP275" s="7" t="e">
        <f t="shared" si="234"/>
        <v>#VALUE!</v>
      </c>
      <c r="CQ275" s="1" t="str">
        <f t="shared" si="235"/>
        <v/>
      </c>
      <c r="CR275" s="79" t="e">
        <f>IF(IF(COUNTIF($CR$4:CR274,CR271)&gt;=MAX($D$4:$D$8),CR271+4,CR271)&gt;55,"",IF(COUNTIF($CR$4:CR274,CR271)&gt;=MAX($D$4:$D$8),CR271+4,CR271))</f>
        <v>#VALUE!</v>
      </c>
      <c r="CS275" s="1" t="e">
        <f t="shared" si="228"/>
        <v>#VALUE!</v>
      </c>
      <c r="CT275" s="8" t="str">
        <f t="shared" si="236"/>
        <v/>
      </c>
      <c r="CV275" s="71" t="e">
        <f t="shared" si="197"/>
        <v>#VALUE!</v>
      </c>
      <c r="CW275" s="71" t="str">
        <f>IF(OR(COUNTBLANK(CZ275)=1,ISERROR(CZ275)),"",COUNT($CZ$4:CZ275))</f>
        <v/>
      </c>
      <c r="CX275" s="7" t="e">
        <f t="shared" si="198"/>
        <v>#VALUE!</v>
      </c>
      <c r="CY275" s="1" t="str">
        <f t="shared" si="199"/>
        <v/>
      </c>
      <c r="CZ275" s="79" t="e">
        <f>IF(IF(COUNTIF($CZ$4:CZ274,CZ270)&gt;=MAX($D$4:$D$8),CZ270+5,CZ270)&gt;55,"",IF(COUNTIF($CZ$4:CZ274,CZ270)&gt;=MAX($D$4:$D$8),CZ270+5,CZ270))</f>
        <v>#VALUE!</v>
      </c>
      <c r="DA275" s="1" t="e">
        <f t="shared" si="229"/>
        <v>#VALUE!</v>
      </c>
      <c r="DB275" s="8" t="str">
        <f t="shared" si="200"/>
        <v/>
      </c>
    </row>
    <row r="276" spans="5:106" x14ac:dyDescent="0.15">
      <c r="E276" s="1">
        <v>273</v>
      </c>
      <c r="F276" s="1">
        <f t="shared" si="230"/>
        <v>1</v>
      </c>
      <c r="G276" s="1">
        <f t="shared" si="237"/>
        <v>1</v>
      </c>
      <c r="H276" s="1">
        <f t="shared" si="231"/>
        <v>1</v>
      </c>
      <c r="I276" s="1">
        <f t="shared" si="232"/>
        <v>1</v>
      </c>
      <c r="J276" s="1">
        <f t="shared" si="238"/>
        <v>1</v>
      </c>
      <c r="W276" s="71" t="e">
        <f t="shared" si="201"/>
        <v>#VALUE!</v>
      </c>
      <c r="X276" s="71" t="str">
        <f>IF(OR(COUNTBLANK(AA276)=1,ISERROR(AA276)),"",COUNT(AA4:AA276))</f>
        <v/>
      </c>
      <c r="Y276" s="7" t="e">
        <f t="shared" si="203"/>
        <v>#VALUE!</v>
      </c>
      <c r="Z276" s="1" t="str">
        <f t="shared" si="217"/>
        <v/>
      </c>
      <c r="AA276" s="79" t="e">
        <f>IF(IF(COUNTIF(AA4:AA275,AA275)&gt;=MAX(D4:D8),AA275+1,AA275)&gt;50,"",IF(COUNTIF(AA4:AA275,AA275)&gt;=MAX(D4:D8),AA275+1,AA275))</f>
        <v>#VALUE!</v>
      </c>
      <c r="AB276" s="1" t="e">
        <f>IF(AA276="","",VLOOKUP(AA276,S4:U53,3,0))</f>
        <v>#VALUE!</v>
      </c>
      <c r="AC276" s="8" t="str">
        <f t="shared" si="204"/>
        <v/>
      </c>
      <c r="AE276" s="71" t="e">
        <f t="shared" si="205"/>
        <v>#VALUE!</v>
      </c>
      <c r="AF276" s="71" t="str">
        <f>IF(OR(COUNTBLANK(AI276)=1,ISERROR(AI276)),"",COUNT(AI4:AI276))</f>
        <v/>
      </c>
      <c r="AG276" s="7" t="e">
        <f t="shared" si="206"/>
        <v>#VALUE!</v>
      </c>
      <c r="AH276" s="1" t="str">
        <f>IF(ISERROR(INDEX(C4:C8,MATCH(G276,D4:D8,0))),"",INDEX(C4:C8,MATCH(G276,D4:D8,0)))</f>
        <v/>
      </c>
      <c r="AI276" s="79" t="e">
        <f>IF(IF(COUNTIF(AI4:AI274,AI274)&gt;=MAX(D4:D8),AI274+2,AI274)&gt;50,"",IF(COUNTIF(AI4:AI274,AI274)&gt;=MAX(D4:D8),AI274+2,AI274))</f>
        <v>#VALUE!</v>
      </c>
      <c r="AJ276" s="1" t="e">
        <f>IF(AI276="","",VLOOKUP(AI276,S4:U53,3,0))</f>
        <v>#VALUE!</v>
      </c>
      <c r="AK276" s="8" t="str">
        <f t="shared" si="207"/>
        <v/>
      </c>
      <c r="AM276" s="71" t="e">
        <f t="shared" si="208"/>
        <v>#VALUE!</v>
      </c>
      <c r="AN276" s="71" t="str">
        <f>IF(OR(COUNTBLANK(AQ276)=1,ISERROR(AQ276)),"",COUNT(AQ4:AQ276))</f>
        <v/>
      </c>
      <c r="AO276" s="7" t="e">
        <f t="shared" si="209"/>
        <v>#VALUE!</v>
      </c>
      <c r="AP276" s="1" t="str">
        <f>IF(ISERROR(INDEX(C4:C8,MATCH(H276,D4:D8,0))),"",INDEX(C4:C8,MATCH(H276,D4:D8,0)))</f>
        <v/>
      </c>
      <c r="AQ276" s="79" t="e">
        <f>IF(IF(COUNTIF(AQ4:AQ275,AQ273)&gt;=MAX(D4:D8),AQ273+3,AQ273)&gt;50,"",IF(COUNTIF(AQ4:AQ275,AQ273)&gt;=MAX(D4:D8),AQ273+3,AQ273))</f>
        <v>#VALUE!</v>
      </c>
      <c r="AR276" s="1" t="e">
        <f>IF(AQ276="","",VLOOKUP(AQ276,S4:U53,3,0))</f>
        <v>#VALUE!</v>
      </c>
      <c r="AS276" s="8" t="str">
        <f t="shared" si="210"/>
        <v/>
      </c>
      <c r="AU276" s="71" t="e">
        <f t="shared" si="211"/>
        <v>#VALUE!</v>
      </c>
      <c r="AV276" s="71" t="str">
        <f>IF(OR(COUNTBLANK(AY276)=1,ISERROR(AY276)),"",COUNT(AY4:AY276))</f>
        <v/>
      </c>
      <c r="AW276" s="7" t="e">
        <f t="shared" si="212"/>
        <v>#VALUE!</v>
      </c>
      <c r="AX276" s="1" t="str">
        <f>IF(ISERROR(INDEX(C4:C8,MATCH(I276,D4:D8,0))),"",INDEX(C4:C8,MATCH(I276,D4:D8,0)))</f>
        <v/>
      </c>
      <c r="AY276" s="79" t="e">
        <f>IF(IF(COUNTIF(AY4:AY275,AY272)&gt;=MAX(D4:D8),AY272+4,AY272)&gt;50,"",IF(COUNTIF(AY4:AY275,AY272)&gt;=MAX(D4:D8),AY272+4,AY272))</f>
        <v>#VALUE!</v>
      </c>
      <c r="AZ276" s="76" t="e">
        <f>IF(AY276="","",VLOOKUP(AY276,S4:U53,3,0))</f>
        <v>#VALUE!</v>
      </c>
      <c r="BA276" s="8" t="str">
        <f t="shared" si="213"/>
        <v/>
      </c>
      <c r="BC276" s="71" t="e">
        <f t="shared" si="214"/>
        <v>#VALUE!</v>
      </c>
      <c r="BD276" s="71" t="str">
        <f>IF(OR(COUNTBLANK(BG276)=1,ISERROR(BG276)),"",COUNT(BG4:BG276))</f>
        <v/>
      </c>
      <c r="BE276" s="7" t="e">
        <f t="shared" si="215"/>
        <v>#VALUE!</v>
      </c>
      <c r="BF276" s="1" t="str">
        <f>IF(ISERROR(INDEX(C4:C8,MATCH(J276,D4:D8,0))),"",INDEX(C4:C8,MATCH(J276,D4:D8,0)))</f>
        <v/>
      </c>
      <c r="BG276" s="79" t="e">
        <f>IF(IF(COUNTIF(BG4:BG275,BG271)&gt;=MAX(D4:D8),BG271+5,BG271)&gt;50,"",IF(COUNTIF(BG4:BG275,BG271)&gt;=MAX(D4:D8),BG271+5,BG271))</f>
        <v>#VALUE!</v>
      </c>
      <c r="BH276" s="76" t="e">
        <f>IF(BG276="","",VLOOKUP(BG276,S4:U53,3,0))</f>
        <v>#VALUE!</v>
      </c>
      <c r="BI276" s="8" t="str">
        <f t="shared" si="216"/>
        <v/>
      </c>
      <c r="BP276" s="71" t="e">
        <f t="shared" si="202"/>
        <v>#VALUE!</v>
      </c>
      <c r="BQ276" s="71" t="str">
        <f>IF(OR(COUNTBLANK(BT276)=1,ISERROR(BT276)),"",COUNT(BT4:BT276))</f>
        <v/>
      </c>
      <c r="BR276" s="7" t="e">
        <f t="shared" si="218"/>
        <v>#VALUE!</v>
      </c>
      <c r="BS276" s="1" t="str">
        <f t="shared" si="219"/>
        <v/>
      </c>
      <c r="BT276" s="79" t="e">
        <f>IF(IF(COUNTIF($BT$4:BT275,BT275)&gt;=MAX($D$4:$D$8),BT275+1,BT275)&gt;55,"",IF(COUNTIF($BT$4:BT275,BT275)&gt;=MAX($D$4:$D$8),BT275+1,BT275))</f>
        <v>#VALUE!</v>
      </c>
      <c r="BU276" s="1" t="e">
        <f t="shared" si="220"/>
        <v>#VALUE!</v>
      </c>
      <c r="BV276" s="8" t="str">
        <f t="shared" si="221"/>
        <v/>
      </c>
      <c r="BX276" s="71" t="e">
        <f t="shared" si="222"/>
        <v>#VALUE!</v>
      </c>
      <c r="BY276" s="71" t="str">
        <f>IF(OR(COUNTBLANK(CB276)=1,ISERROR(CB276)),"",COUNT($CB$4:CB276))</f>
        <v/>
      </c>
      <c r="BZ276" s="7" t="e">
        <f t="shared" si="223"/>
        <v>#VALUE!</v>
      </c>
      <c r="CA276" s="1" t="str">
        <f t="shared" si="224"/>
        <v/>
      </c>
      <c r="CB276" s="79" t="e">
        <f>IF(IF(COUNTIF($CB$4:CB275,CB274)&gt;=MAX($D$4:$D$8),CB274+2,CB274)&gt;55,"",IF(COUNTIF($CB$4:CB275,CB274)&gt;=MAX($D$4:$D$8),CB274+2,CB274))</f>
        <v>#VALUE!</v>
      </c>
      <c r="CC276" s="1" t="e">
        <f t="shared" si="225"/>
        <v>#VALUE!</v>
      </c>
      <c r="CD276" s="8" t="str">
        <f t="shared" si="226"/>
        <v/>
      </c>
      <c r="CF276" s="71" t="e">
        <f t="shared" si="239"/>
        <v>#VALUE!</v>
      </c>
      <c r="CG276" s="71" t="str">
        <f>IF(OR(COUNTBLANK(CJ276)=1,ISERROR(CJ276)),"",COUNT($CJ$4:CJ276))</f>
        <v/>
      </c>
      <c r="CH276" s="7" t="e">
        <f t="shared" si="240"/>
        <v>#VALUE!</v>
      </c>
      <c r="CI276" s="1" t="str">
        <f t="shared" si="241"/>
        <v/>
      </c>
      <c r="CJ276" s="79" t="e">
        <f>IF(IF(COUNTIF($CJ$4:CJ275,CJ273)&gt;=MAX($D$4:$D$8),CJ273+3,CJ273)&gt;55,"",IF(COUNTIF($CJ$4:CJ275,CJ273)&gt;=MAX($D$4:$D$8),CJ273+3,CJ273))</f>
        <v>#VALUE!</v>
      </c>
      <c r="CK276" s="1" t="e">
        <f t="shared" si="227"/>
        <v>#VALUE!</v>
      </c>
      <c r="CL276" s="8" t="str">
        <f t="shared" si="242"/>
        <v/>
      </c>
      <c r="CN276" s="71" t="e">
        <f t="shared" si="233"/>
        <v>#VALUE!</v>
      </c>
      <c r="CO276" s="71" t="str">
        <f>IF(OR(COUNTBLANK(CR276)=1,ISERROR(CR276)),"",COUNT($CR$4:CR276))</f>
        <v/>
      </c>
      <c r="CP276" s="7" t="e">
        <f t="shared" si="234"/>
        <v>#VALUE!</v>
      </c>
      <c r="CQ276" s="1" t="str">
        <f t="shared" si="235"/>
        <v/>
      </c>
      <c r="CR276" s="79" t="e">
        <f>IF(IF(COUNTIF($CR$4:CR275,CR272)&gt;=MAX($D$4:$D$8),CR272+4,CR272)&gt;55,"",IF(COUNTIF($CR$4:CR275,CR272)&gt;=MAX($D$4:$D$8),CR272+4,CR272))</f>
        <v>#VALUE!</v>
      </c>
      <c r="CS276" s="1" t="e">
        <f t="shared" si="228"/>
        <v>#VALUE!</v>
      </c>
      <c r="CT276" s="8" t="str">
        <f t="shared" si="236"/>
        <v/>
      </c>
      <c r="CV276" s="71" t="e">
        <f t="shared" si="197"/>
        <v>#VALUE!</v>
      </c>
      <c r="CW276" s="71" t="str">
        <f>IF(OR(COUNTBLANK(CZ276)=1,ISERROR(CZ276)),"",COUNT($CZ$4:CZ276))</f>
        <v/>
      </c>
      <c r="CX276" s="7" t="e">
        <f t="shared" si="198"/>
        <v>#VALUE!</v>
      </c>
      <c r="CY276" s="1" t="str">
        <f t="shared" si="199"/>
        <v/>
      </c>
      <c r="CZ276" s="79" t="e">
        <f>IF(IF(COUNTIF($CZ$4:CZ275,CZ271)&gt;=MAX($D$4:$D$8),CZ271+5,CZ271)&gt;55,"",IF(COUNTIF($CZ$4:CZ275,CZ271)&gt;=MAX($D$4:$D$8),CZ271+5,CZ271))</f>
        <v>#VALUE!</v>
      </c>
      <c r="DA276" s="1" t="e">
        <f t="shared" si="229"/>
        <v>#VALUE!</v>
      </c>
      <c r="DB276" s="8" t="str">
        <f t="shared" si="200"/>
        <v/>
      </c>
    </row>
    <row r="277" spans="5:106" x14ac:dyDescent="0.15">
      <c r="E277" s="1">
        <v>274</v>
      </c>
      <c r="F277" s="1">
        <f t="shared" si="230"/>
        <v>1</v>
      </c>
      <c r="G277" s="1">
        <f t="shared" si="237"/>
        <v>1</v>
      </c>
      <c r="H277" s="1">
        <f t="shared" si="231"/>
        <v>1</v>
      </c>
      <c r="I277" s="1">
        <f t="shared" si="232"/>
        <v>1</v>
      </c>
      <c r="J277" s="1">
        <f t="shared" si="238"/>
        <v>1</v>
      </c>
      <c r="W277" s="71" t="e">
        <f t="shared" si="201"/>
        <v>#VALUE!</v>
      </c>
      <c r="X277" s="71" t="str">
        <f>IF(OR(COUNTBLANK(AA277)=1,ISERROR(AA277)),"",COUNT(AA4:AA277))</f>
        <v/>
      </c>
      <c r="Y277" s="7" t="e">
        <f t="shared" si="203"/>
        <v>#VALUE!</v>
      </c>
      <c r="Z277" s="1" t="str">
        <f t="shared" si="217"/>
        <v/>
      </c>
      <c r="AA277" s="79" t="e">
        <f>IF(IF(COUNTIF(AA4:AA276,AA276)&gt;=MAX(D4:D8),AA276+1,AA276)&gt;50,"",IF(COUNTIF(AA4:AA276,AA276)&gt;=MAX(D4:D8),AA276+1,AA276))</f>
        <v>#VALUE!</v>
      </c>
      <c r="AB277" s="1" t="e">
        <f>IF(AA277="","",VLOOKUP(AA277,S4:U53,3,0))</f>
        <v>#VALUE!</v>
      </c>
      <c r="AC277" s="8" t="str">
        <f t="shared" si="204"/>
        <v/>
      </c>
      <c r="AE277" s="71" t="e">
        <f t="shared" si="205"/>
        <v>#VALUE!</v>
      </c>
      <c r="AF277" s="71" t="str">
        <f>IF(OR(COUNTBLANK(AI277)=1,ISERROR(AI277)),"",COUNT(AI4:AI277))</f>
        <v/>
      </c>
      <c r="AG277" s="7" t="e">
        <f t="shared" si="206"/>
        <v>#VALUE!</v>
      </c>
      <c r="AH277" s="1" t="str">
        <f>IF(ISERROR(INDEX(C4:C8,MATCH(G277,D4:D8,0))),"",INDEX(C4:C8,MATCH(G277,D4:D8,0)))</f>
        <v/>
      </c>
      <c r="AI277" s="79" t="e">
        <f>IF(IF(COUNTIF(AI4:AI275,AI275)&gt;=MAX(D4:D8),AI275+2,AI275)&gt;50,"",IF(COUNTIF(AI4:AI275,AI275)&gt;=MAX(D4:D8),AI275+2,AI275))</f>
        <v>#VALUE!</v>
      </c>
      <c r="AJ277" s="1" t="e">
        <f>IF(AI277="","",VLOOKUP(AI277,S4:U53,3,0))</f>
        <v>#VALUE!</v>
      </c>
      <c r="AK277" s="8" t="str">
        <f t="shared" si="207"/>
        <v/>
      </c>
      <c r="AM277" s="71" t="e">
        <f t="shared" si="208"/>
        <v>#VALUE!</v>
      </c>
      <c r="AN277" s="71" t="str">
        <f>IF(OR(COUNTBLANK(AQ277)=1,ISERROR(AQ277)),"",COUNT(AQ4:AQ277))</f>
        <v/>
      </c>
      <c r="AO277" s="7" t="e">
        <f t="shared" si="209"/>
        <v>#VALUE!</v>
      </c>
      <c r="AP277" s="1" t="str">
        <f>IF(ISERROR(INDEX(C4:C8,MATCH(H277,D4:D8,0))),"",INDEX(C4:C8,MATCH(H277,D4:D8,0)))</f>
        <v/>
      </c>
      <c r="AQ277" s="79" t="e">
        <f>IF(IF(COUNTIF(AQ4:AQ276,AQ274)&gt;=MAX(D4:D8),AQ274+3,AQ274)&gt;50,"",IF(COUNTIF(AQ4:AQ276,AQ274)&gt;=MAX(D4:D8),AQ274+3,AQ274))</f>
        <v>#VALUE!</v>
      </c>
      <c r="AR277" s="1" t="e">
        <f>IF(AQ277="","",VLOOKUP(AQ277,S4:U53,3,0))</f>
        <v>#VALUE!</v>
      </c>
      <c r="AS277" s="8" t="str">
        <f t="shared" si="210"/>
        <v/>
      </c>
      <c r="AU277" s="71" t="e">
        <f t="shared" si="211"/>
        <v>#VALUE!</v>
      </c>
      <c r="AV277" s="71" t="str">
        <f>IF(OR(COUNTBLANK(AY277)=1,ISERROR(AY277)),"",COUNT(AY4:AY277))</f>
        <v/>
      </c>
      <c r="AW277" s="7" t="e">
        <f t="shared" si="212"/>
        <v>#VALUE!</v>
      </c>
      <c r="AX277" s="1" t="str">
        <f>IF(ISERROR(INDEX(C4:C8,MATCH(I277,D4:D8,0))),"",INDEX(C4:C8,MATCH(I277,D4:D8,0)))</f>
        <v/>
      </c>
      <c r="AY277" s="79" t="e">
        <f>IF(IF(COUNTIF(AY4:AY276,AY273)&gt;=MAX(D4:D8),AY273+4,AY273)&gt;50,"",IF(COUNTIF(AY4:AY276,AY273)&gt;=MAX(D4:D8),AY273+4,AY273))</f>
        <v>#VALUE!</v>
      </c>
      <c r="AZ277" s="76" t="e">
        <f>IF(AY277="","",VLOOKUP(AY277,S4:U53,3,0))</f>
        <v>#VALUE!</v>
      </c>
      <c r="BA277" s="8" t="str">
        <f t="shared" si="213"/>
        <v/>
      </c>
      <c r="BC277" s="71" t="e">
        <f t="shared" si="214"/>
        <v>#VALUE!</v>
      </c>
      <c r="BD277" s="71" t="str">
        <f>IF(OR(COUNTBLANK(BG277)=1,ISERROR(BG277)),"",COUNT(BG4:BG277))</f>
        <v/>
      </c>
      <c r="BE277" s="7" t="e">
        <f t="shared" si="215"/>
        <v>#VALUE!</v>
      </c>
      <c r="BF277" s="1" t="str">
        <f>IF(ISERROR(INDEX(C4:C8,MATCH(J277,D4:D8,0))),"",INDEX(C4:C8,MATCH(J277,D4:D8,0)))</f>
        <v/>
      </c>
      <c r="BG277" s="79" t="e">
        <f>IF(IF(COUNTIF(BG4:BG276,BG272)&gt;=MAX(D4:D8),BG272+5,BG272)&gt;50,"",IF(COUNTIF(BG4:BG276,BG272)&gt;=MAX(D4:D8),BG272+5,BG272))</f>
        <v>#VALUE!</v>
      </c>
      <c r="BH277" s="76" t="e">
        <f>IF(BG277="","",VLOOKUP(BG277,S4:U53,3,0))</f>
        <v>#VALUE!</v>
      </c>
      <c r="BI277" s="8" t="str">
        <f t="shared" si="216"/>
        <v/>
      </c>
      <c r="BP277" s="71" t="e">
        <f t="shared" si="202"/>
        <v>#VALUE!</v>
      </c>
      <c r="BQ277" s="71" t="str">
        <f>IF(OR(COUNTBLANK(BT277)=1,ISERROR(BT277)),"",COUNT(BT4:BT277))</f>
        <v/>
      </c>
      <c r="BR277" s="7" t="e">
        <f t="shared" si="218"/>
        <v>#VALUE!</v>
      </c>
      <c r="BS277" s="1" t="str">
        <f t="shared" si="219"/>
        <v/>
      </c>
      <c r="BT277" s="79" t="e">
        <f>IF(IF(COUNTIF($BT$4:BT276,BT276)&gt;=MAX($D$4:$D$8),BT276+1,BT276)&gt;55,"",IF(COUNTIF($BT$4:BT276,BT276)&gt;=MAX($D$4:$D$8),BT276+1,BT276))</f>
        <v>#VALUE!</v>
      </c>
      <c r="BU277" s="1" t="e">
        <f t="shared" si="220"/>
        <v>#VALUE!</v>
      </c>
      <c r="BV277" s="8" t="str">
        <f t="shared" si="221"/>
        <v/>
      </c>
      <c r="BX277" s="71" t="e">
        <f t="shared" si="222"/>
        <v>#VALUE!</v>
      </c>
      <c r="BY277" s="71" t="str">
        <f>IF(OR(COUNTBLANK(CB277)=1,ISERROR(CB277)),"",COUNT($CB$4:CB277))</f>
        <v/>
      </c>
      <c r="BZ277" s="7" t="e">
        <f t="shared" si="223"/>
        <v>#VALUE!</v>
      </c>
      <c r="CA277" s="1" t="str">
        <f t="shared" si="224"/>
        <v/>
      </c>
      <c r="CB277" s="79" t="e">
        <f>IF(IF(COUNTIF($CB$4:CB276,CB275)&gt;=MAX($D$4:$D$8),CB275+2,CB275)&gt;55,"",IF(COUNTIF($CB$4:CB276,CB275)&gt;=MAX($D$4:$D$8),CB275+2,CB275))</f>
        <v>#VALUE!</v>
      </c>
      <c r="CC277" s="1" t="e">
        <f t="shared" si="225"/>
        <v>#VALUE!</v>
      </c>
      <c r="CD277" s="8" t="str">
        <f t="shared" si="226"/>
        <v/>
      </c>
      <c r="CF277" s="71" t="e">
        <f t="shared" si="239"/>
        <v>#VALUE!</v>
      </c>
      <c r="CG277" s="71" t="str">
        <f>IF(OR(COUNTBLANK(CJ277)=1,ISERROR(CJ277)),"",COUNT($CJ$4:CJ277))</f>
        <v/>
      </c>
      <c r="CH277" s="7" t="e">
        <f t="shared" si="240"/>
        <v>#VALUE!</v>
      </c>
      <c r="CI277" s="1" t="str">
        <f t="shared" si="241"/>
        <v/>
      </c>
      <c r="CJ277" s="79" t="e">
        <f>IF(IF(COUNTIF($CJ$4:CJ276,CJ274)&gt;=MAX($D$4:$D$8),CJ274+3,CJ274)&gt;55,"",IF(COUNTIF($CJ$4:CJ276,CJ274)&gt;=MAX($D$4:$D$8),CJ274+3,CJ274))</f>
        <v>#VALUE!</v>
      </c>
      <c r="CK277" s="1" t="e">
        <f t="shared" si="227"/>
        <v>#VALUE!</v>
      </c>
      <c r="CL277" s="8" t="str">
        <f t="shared" si="242"/>
        <v/>
      </c>
      <c r="CN277" s="71" t="e">
        <f t="shared" si="233"/>
        <v>#VALUE!</v>
      </c>
      <c r="CO277" s="71" t="str">
        <f>IF(OR(COUNTBLANK(CR277)=1,ISERROR(CR277)),"",COUNT($CR$4:CR277))</f>
        <v/>
      </c>
      <c r="CP277" s="7" t="e">
        <f t="shared" si="234"/>
        <v>#VALUE!</v>
      </c>
      <c r="CQ277" s="1" t="str">
        <f t="shared" si="235"/>
        <v/>
      </c>
      <c r="CR277" s="79" t="e">
        <f>IF(IF(COUNTIF($CR$4:CR276,CR273)&gt;=MAX($D$4:$D$8),CR273+4,CR273)&gt;55,"",IF(COUNTIF($CR$4:CR276,CR273)&gt;=MAX($D$4:$D$8),CR273+4,CR273))</f>
        <v>#VALUE!</v>
      </c>
      <c r="CS277" s="1" t="e">
        <f t="shared" si="228"/>
        <v>#VALUE!</v>
      </c>
      <c r="CT277" s="8" t="str">
        <f t="shared" si="236"/>
        <v/>
      </c>
      <c r="CV277" s="71" t="e">
        <f t="shared" si="197"/>
        <v>#VALUE!</v>
      </c>
      <c r="CW277" s="71" t="str">
        <f>IF(OR(COUNTBLANK(CZ277)=1,ISERROR(CZ277)),"",COUNT($CZ$4:CZ277))</f>
        <v/>
      </c>
      <c r="CX277" s="7" t="e">
        <f t="shared" si="198"/>
        <v>#VALUE!</v>
      </c>
      <c r="CY277" s="1" t="str">
        <f t="shared" si="199"/>
        <v/>
      </c>
      <c r="CZ277" s="79" t="e">
        <f>IF(IF(COUNTIF($CZ$4:CZ276,CZ272)&gt;=MAX($D$4:$D$8),CZ272+5,CZ272)&gt;55,"",IF(COUNTIF($CZ$4:CZ276,CZ272)&gt;=MAX($D$4:$D$8),CZ272+5,CZ272))</f>
        <v>#VALUE!</v>
      </c>
      <c r="DA277" s="1" t="e">
        <f t="shared" si="229"/>
        <v>#VALUE!</v>
      </c>
      <c r="DB277" s="8" t="str">
        <f t="shared" si="200"/>
        <v/>
      </c>
    </row>
    <row r="278" spans="5:106" x14ac:dyDescent="0.15">
      <c r="E278" s="1">
        <v>275</v>
      </c>
      <c r="F278" s="1">
        <f t="shared" si="230"/>
        <v>1</v>
      </c>
      <c r="G278" s="1">
        <f t="shared" si="237"/>
        <v>1</v>
      </c>
      <c r="H278" s="1">
        <f t="shared" si="231"/>
        <v>1</v>
      </c>
      <c r="I278" s="1">
        <f t="shared" si="232"/>
        <v>1</v>
      </c>
      <c r="J278" s="1">
        <f t="shared" si="238"/>
        <v>1</v>
      </c>
      <c r="W278" s="71" t="e">
        <f t="shared" si="201"/>
        <v>#VALUE!</v>
      </c>
      <c r="X278" s="71" t="str">
        <f>IF(OR(COUNTBLANK(AA278)=1,ISERROR(AA278)),"",COUNT(AA4:AA278))</f>
        <v/>
      </c>
      <c r="Y278" s="7" t="e">
        <f t="shared" si="203"/>
        <v>#VALUE!</v>
      </c>
      <c r="Z278" s="1" t="str">
        <f t="shared" si="217"/>
        <v/>
      </c>
      <c r="AA278" s="79" t="e">
        <f>IF(IF(COUNTIF(AA4:AA277,AA277)&gt;=MAX(D4:D8),AA277+1,AA277)&gt;50,"",IF(COUNTIF(AA4:AA277,AA277)&gt;=MAX(D4:D8),AA277+1,AA277))</f>
        <v>#VALUE!</v>
      </c>
      <c r="AB278" s="1" t="e">
        <f>IF(AA278="","",VLOOKUP(AA278,S4:U53,3,0))</f>
        <v>#VALUE!</v>
      </c>
      <c r="AC278" s="8" t="str">
        <f t="shared" si="204"/>
        <v/>
      </c>
      <c r="AE278" s="71" t="e">
        <f t="shared" si="205"/>
        <v>#VALUE!</v>
      </c>
      <c r="AF278" s="71" t="str">
        <f>IF(OR(COUNTBLANK(AI278)=1,ISERROR(AI278)),"",COUNT(AI4:AI278))</f>
        <v/>
      </c>
      <c r="AG278" s="7" t="e">
        <f t="shared" si="206"/>
        <v>#VALUE!</v>
      </c>
      <c r="AH278" s="1" t="str">
        <f>IF(ISERROR(INDEX(C4:C8,MATCH(G278,D4:D8,0))),"",INDEX(C4:C8,MATCH(G278,D4:D8,0)))</f>
        <v/>
      </c>
      <c r="AI278" s="79" t="e">
        <f>IF(IF(COUNTIF(AI4:AI276,AI276)&gt;=MAX(D4:D8),AI276+2,AI276)&gt;50,"",IF(COUNTIF(AI4:AI276,AI276)&gt;=MAX(D4:D8),AI276+2,AI276))</f>
        <v>#VALUE!</v>
      </c>
      <c r="AJ278" s="1" t="e">
        <f>IF(AI278="","",VLOOKUP(AI278,S4:U53,3,0))</f>
        <v>#VALUE!</v>
      </c>
      <c r="AK278" s="8" t="str">
        <f t="shared" si="207"/>
        <v/>
      </c>
      <c r="AM278" s="71" t="e">
        <f t="shared" si="208"/>
        <v>#VALUE!</v>
      </c>
      <c r="AN278" s="71" t="str">
        <f>IF(OR(COUNTBLANK(AQ278)=1,ISERROR(AQ278)),"",COUNT(AQ4:AQ278))</f>
        <v/>
      </c>
      <c r="AO278" s="7" t="e">
        <f t="shared" si="209"/>
        <v>#VALUE!</v>
      </c>
      <c r="AP278" s="1" t="str">
        <f>IF(ISERROR(INDEX(C4:C8,MATCH(H278,D4:D8,0))),"",INDEX(C4:C8,MATCH(H278,D4:D8,0)))</f>
        <v/>
      </c>
      <c r="AQ278" s="79" t="e">
        <f>IF(IF(COUNTIF(AQ4:AQ277,AQ275)&gt;=MAX(D4:D8),AQ275+3,AQ275)&gt;50,"",IF(COUNTIF(AQ4:AQ277,AQ275)&gt;=MAX(D4:D8),AQ275+3,AQ275))</f>
        <v>#VALUE!</v>
      </c>
      <c r="AR278" s="1" t="e">
        <f>IF(AQ278="","",VLOOKUP(AQ278,S4:U53,3,0))</f>
        <v>#VALUE!</v>
      </c>
      <c r="AS278" s="8" t="str">
        <f t="shared" si="210"/>
        <v/>
      </c>
      <c r="AU278" s="71" t="e">
        <f t="shared" si="211"/>
        <v>#VALUE!</v>
      </c>
      <c r="AV278" s="71" t="str">
        <f>IF(OR(COUNTBLANK(AY278)=1,ISERROR(AY278)),"",COUNT(AY4:AY278))</f>
        <v/>
      </c>
      <c r="AW278" s="7" t="e">
        <f t="shared" si="212"/>
        <v>#VALUE!</v>
      </c>
      <c r="AX278" s="1" t="str">
        <f>IF(ISERROR(INDEX(C4:C8,MATCH(I278,D4:D8,0))),"",INDEX(C4:C8,MATCH(I278,D4:D8,0)))</f>
        <v/>
      </c>
      <c r="AY278" s="79" t="e">
        <f>IF(IF(COUNTIF(AY4:AY277,AY274)&gt;=MAX(D4:D8),AY274+4,AY274)&gt;50,"",IF(COUNTIF(AY4:AY277,AY274)&gt;=MAX(D4:D8),AY274+4,AY274))</f>
        <v>#VALUE!</v>
      </c>
      <c r="AZ278" s="76" t="e">
        <f>IF(AY278="","",VLOOKUP(AY278,S4:U53,3,0))</f>
        <v>#VALUE!</v>
      </c>
      <c r="BA278" s="8" t="str">
        <f t="shared" si="213"/>
        <v/>
      </c>
      <c r="BC278" s="71" t="e">
        <f t="shared" si="214"/>
        <v>#VALUE!</v>
      </c>
      <c r="BD278" s="71" t="str">
        <f>IF(OR(COUNTBLANK(BG278)=1,ISERROR(BG278)),"",COUNT(BG4:BG278))</f>
        <v/>
      </c>
      <c r="BE278" s="7" t="e">
        <f t="shared" si="215"/>
        <v>#VALUE!</v>
      </c>
      <c r="BF278" s="1" t="str">
        <f>IF(ISERROR(INDEX(C4:C8,MATCH(J278,D4:D8,0))),"",INDEX(C4:C8,MATCH(J278,D4:D8,0)))</f>
        <v/>
      </c>
      <c r="BG278" s="79" t="e">
        <f>IF(IF(COUNTIF(BG4:BG277,BG273)&gt;=MAX(D4:D8),BG273+5,BG273)&gt;50,"",IF(COUNTIF(BG4:BG277,BG273)&gt;=MAX(D4:D8),BG273+5,BG273))</f>
        <v>#VALUE!</v>
      </c>
      <c r="BH278" s="76" t="e">
        <f>IF(BG278="","",VLOOKUP(BG278,S4:U53,3,0))</f>
        <v>#VALUE!</v>
      </c>
      <c r="BI278" s="8" t="str">
        <f t="shared" si="216"/>
        <v/>
      </c>
      <c r="BP278" s="71" t="e">
        <f t="shared" si="202"/>
        <v>#VALUE!</v>
      </c>
      <c r="BQ278" s="71" t="str">
        <f>IF(OR(COUNTBLANK(BT278)=1,ISERROR(BT278)),"",COUNT(BT4:BT278))</f>
        <v/>
      </c>
      <c r="BR278" s="7" t="e">
        <f t="shared" si="218"/>
        <v>#VALUE!</v>
      </c>
      <c r="BS278" s="1" t="str">
        <f t="shared" si="219"/>
        <v/>
      </c>
      <c r="BT278" s="79" t="e">
        <f>IF(IF(COUNTIF($BT$4:BT277,BT277)&gt;=MAX($D$4:$D$8),BT277+1,BT277)&gt;55,"",IF(COUNTIF($BT$4:BT277,BT277)&gt;=MAX($D$4:$D$8),BT277+1,BT277))</f>
        <v>#VALUE!</v>
      </c>
      <c r="BU278" s="1" t="e">
        <f t="shared" si="220"/>
        <v>#VALUE!</v>
      </c>
      <c r="BV278" s="8" t="str">
        <f t="shared" si="221"/>
        <v/>
      </c>
      <c r="BX278" s="71" t="e">
        <f t="shared" si="222"/>
        <v>#VALUE!</v>
      </c>
      <c r="BY278" s="71" t="str">
        <f>IF(OR(COUNTBLANK(CB278)=1,ISERROR(CB278)),"",COUNT($CB$4:CB278))</f>
        <v/>
      </c>
      <c r="BZ278" s="7" t="e">
        <f t="shared" si="223"/>
        <v>#VALUE!</v>
      </c>
      <c r="CA278" s="1" t="str">
        <f t="shared" si="224"/>
        <v/>
      </c>
      <c r="CB278" s="79" t="e">
        <f>IF(IF(COUNTIF($CB$4:CB277,CB276)&gt;=MAX($D$4:$D$8),CB276+2,CB276)&gt;55,"",IF(COUNTIF($CB$4:CB277,CB276)&gt;=MAX($D$4:$D$8),CB276+2,CB276))</f>
        <v>#VALUE!</v>
      </c>
      <c r="CC278" s="1" t="e">
        <f t="shared" si="225"/>
        <v>#VALUE!</v>
      </c>
      <c r="CD278" s="8" t="str">
        <f t="shared" si="226"/>
        <v/>
      </c>
      <c r="CF278" s="71" t="e">
        <f t="shared" si="239"/>
        <v>#VALUE!</v>
      </c>
      <c r="CG278" s="71" t="str">
        <f>IF(OR(COUNTBLANK(CJ278)=1,ISERROR(CJ278)),"",COUNT($CJ$4:CJ278))</f>
        <v/>
      </c>
      <c r="CH278" s="7" t="e">
        <f t="shared" si="240"/>
        <v>#VALUE!</v>
      </c>
      <c r="CI278" s="1" t="str">
        <f t="shared" si="241"/>
        <v/>
      </c>
      <c r="CJ278" s="79" t="e">
        <f>IF(IF(COUNTIF($CJ$4:CJ277,CJ275)&gt;=MAX($D$4:$D$8),CJ275+3,CJ275)&gt;55,"",IF(COUNTIF($CJ$4:CJ277,CJ275)&gt;=MAX($D$4:$D$8),CJ275+3,CJ275))</f>
        <v>#VALUE!</v>
      </c>
      <c r="CK278" s="1" t="e">
        <f t="shared" si="227"/>
        <v>#VALUE!</v>
      </c>
      <c r="CL278" s="8" t="str">
        <f t="shared" si="242"/>
        <v/>
      </c>
      <c r="CN278" s="71" t="e">
        <f t="shared" si="233"/>
        <v>#VALUE!</v>
      </c>
      <c r="CO278" s="71" t="str">
        <f>IF(OR(COUNTBLANK(CR278)=1,ISERROR(CR278)),"",COUNT($CR$4:CR278))</f>
        <v/>
      </c>
      <c r="CP278" s="7" t="e">
        <f t="shared" si="234"/>
        <v>#VALUE!</v>
      </c>
      <c r="CQ278" s="1" t="str">
        <f t="shared" si="235"/>
        <v/>
      </c>
      <c r="CR278" s="79" t="e">
        <f>IF(IF(COUNTIF($CR$4:CR277,CR274)&gt;=MAX($D$4:$D$8),CR274+4,CR274)&gt;55,"",IF(COUNTIF($CR$4:CR277,CR274)&gt;=MAX($D$4:$D$8),CR274+4,CR274))</f>
        <v>#VALUE!</v>
      </c>
      <c r="CS278" s="1" t="e">
        <f t="shared" si="228"/>
        <v>#VALUE!</v>
      </c>
      <c r="CT278" s="8" t="str">
        <f t="shared" si="236"/>
        <v/>
      </c>
      <c r="CV278" s="71" t="e">
        <f t="shared" ref="CV278" si="243">IF(CZ278="","",CZ278*10+J278)</f>
        <v>#VALUE!</v>
      </c>
      <c r="CW278" s="71" t="str">
        <f>IF(OR(COUNTBLANK(CZ278)=1,ISERROR(CZ278)),"",COUNT($CZ$4:CZ278))</f>
        <v/>
      </c>
      <c r="CX278" s="7" t="e">
        <f t="shared" ref="CX278" si="244">IF(CZ278&gt;25,"ナビ・","1・2年のWナビ・")</f>
        <v>#VALUE!</v>
      </c>
      <c r="CY278" s="1" t="str">
        <f t="shared" ref="CY278" si="245">IF(ISERROR(INDEX($C$4:$C$8,MATCH(J278,$D$4:$D$8,0))),"",INDEX($C$4:$C$8,MATCH(J278,$D$4:$D$8,0)))</f>
        <v/>
      </c>
      <c r="CZ278" s="79" t="e">
        <f>IF(IF(COUNTIF($CZ$4:CZ277,CZ273)&gt;=MAX($D$4:$D$8),CZ273+5,CZ273)&gt;55,"",IF(COUNTIF($CZ$4:CZ277,CZ273)&gt;=MAX($D$4:$D$8),CZ273+5,CZ273))</f>
        <v>#VALUE!</v>
      </c>
      <c r="DA278" s="1" t="e">
        <f t="shared" si="229"/>
        <v>#VALUE!</v>
      </c>
      <c r="DB278" s="8" t="str">
        <f t="shared" ref="DB278" si="246">IF(ISERROR(IF(COUNTIF(CY278:DA278,"")&gt;=1,"",CX278&amp;CY278&amp;"【"&amp;VLOOKUP(CZ278,$BL$4:$BN$58,2,0)&amp;"】"&amp;DA278)),"",IF(COUNTIF(CY278:DA278,"")&gt;=1,"",CX278&amp;CY278&amp;"【"&amp;VLOOKUP(CZ278,$BL$4:$BN$58,2,0)&amp;"】"&amp;DA278))</f>
        <v/>
      </c>
    </row>
  </sheetData>
  <sheetProtection algorithmName="SHA-512" hashValue="hqMavOXE32ziMOab9KH1EcZ2SR+H23bd5YNLy4eI0/hOMLYmW/LwvmwgpocAssZn3Vwvo16H4fYPZw0y/Imi2Q==" saltValue="Nz9dBYmVDXf9Y+jehWmayw==" spinCount="100000" sheet="1" objects="1" scenarios="1"/>
  <mergeCells count="4">
    <mergeCell ref="E2:E3"/>
    <mergeCell ref="S2:U2"/>
    <mergeCell ref="F2:J2"/>
    <mergeCell ref="BL2:BN2"/>
  </mergeCells>
  <phoneticPr fontId="1"/>
  <pageMargins left="0.7" right="0.7" top="0.75" bottom="0.75" header="0.3" footer="0.3"/>
  <pageSetup paperSize="9" scale="2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tabColor theme="4" tint="0.59999389629810485"/>
  </sheetPr>
  <dimension ref="A1:V35"/>
  <sheetViews>
    <sheetView zoomScaleNormal="100" workbookViewId="0">
      <selection activeCell="B5" sqref="B5"/>
    </sheetView>
  </sheetViews>
  <sheetFormatPr defaultColWidth="8.875" defaultRowHeight="13.5" x14ac:dyDescent="0.15"/>
  <cols>
    <col min="1" max="1" width="8.875" style="47"/>
    <col min="2" max="3" width="5.75" style="47" customWidth="1"/>
    <col min="4" max="4" width="3.75" style="47" customWidth="1"/>
    <col min="5" max="5" width="5.75" style="47" customWidth="1"/>
    <col min="6" max="6" width="7.5" style="47" customWidth="1"/>
    <col min="7" max="7" width="26.5" style="47" customWidth="1"/>
    <col min="8" max="10" width="37.75" style="47" customWidth="1"/>
    <col min="11" max="16384" width="8.875" style="47"/>
  </cols>
  <sheetData>
    <row r="1" spans="1:22" ht="36" customHeight="1" x14ac:dyDescent="0.15">
      <c r="A1" s="162" t="s">
        <v>69</v>
      </c>
      <c r="B1" s="163"/>
      <c r="C1" s="163"/>
      <c r="D1" s="163"/>
      <c r="E1" s="63" t="str">
        <f>"ま★ナビシステム　"&amp;IF(B7="","",B7&amp;"月度")&amp;"学習計画表"</f>
        <v>ま★ナビシステム　10月度学習計画表</v>
      </c>
      <c r="J1" s="48" t="s">
        <v>68</v>
      </c>
    </row>
    <row r="2" spans="1:22" ht="4.9000000000000004" customHeight="1" x14ac:dyDescent="0.15">
      <c r="A2" s="163"/>
      <c r="B2" s="163"/>
      <c r="C2" s="163"/>
      <c r="D2" s="163"/>
      <c r="E2" s="49"/>
    </row>
    <row r="3" spans="1:22" ht="19.149999999999999" customHeight="1" x14ac:dyDescent="0.15">
      <c r="A3" s="163"/>
      <c r="B3" s="163"/>
      <c r="C3" s="163"/>
      <c r="D3" s="163"/>
      <c r="E3" s="164" t="s">
        <v>2</v>
      </c>
      <c r="F3" s="166" t="s">
        <v>1</v>
      </c>
      <c r="G3" s="166" t="s">
        <v>4</v>
      </c>
      <c r="H3" s="158" t="s">
        <v>7</v>
      </c>
      <c r="I3" s="159"/>
      <c r="J3" s="160"/>
    </row>
    <row r="4" spans="1:22" x14ac:dyDescent="0.15">
      <c r="E4" s="165"/>
      <c r="F4" s="166"/>
      <c r="G4" s="166"/>
      <c r="H4" s="50" t="s">
        <v>50</v>
      </c>
      <c r="I4" s="51" t="s">
        <v>51</v>
      </c>
      <c r="J4" s="52" t="s">
        <v>52</v>
      </c>
      <c r="U4" s="53"/>
      <c r="V4" s="53"/>
    </row>
    <row r="5" spans="1:22" ht="16.899999999999999" customHeight="1" x14ac:dyDescent="0.15">
      <c r="A5" s="54" t="s">
        <v>5</v>
      </c>
      <c r="B5" s="58">
        <v>2023</v>
      </c>
      <c r="C5" s="47" t="s">
        <v>3</v>
      </c>
      <c r="D5" s="57">
        <f>DATE($B$5,$B$7,1)</f>
        <v>45200</v>
      </c>
      <c r="E5" s="55">
        <v>1</v>
      </c>
      <c r="F5" s="56" t="str">
        <f t="shared" ref="F5:F35" si="0">IF(OR($B$5="",$B$7=""),"",TEXT(D5,"aaa"))</f>
        <v>日</v>
      </c>
      <c r="G5" s="59"/>
      <c r="H5" s="60"/>
      <c r="I5" s="61"/>
      <c r="J5" s="62"/>
    </row>
    <row r="6" spans="1:22" ht="16.899999999999999" customHeight="1" x14ac:dyDescent="0.15">
      <c r="D6" s="57">
        <f>DATE($B$5,$B$7,2)</f>
        <v>45201</v>
      </c>
      <c r="E6" s="55">
        <v>2</v>
      </c>
      <c r="F6" s="56" t="str">
        <f t="shared" si="0"/>
        <v>月</v>
      </c>
      <c r="G6" s="59"/>
      <c r="H6" s="60"/>
      <c r="I6" s="61"/>
      <c r="J6" s="62"/>
    </row>
    <row r="7" spans="1:22" ht="16.899999999999999" customHeight="1" x14ac:dyDescent="0.15">
      <c r="A7" s="54" t="s">
        <v>6</v>
      </c>
      <c r="B7" s="58">
        <v>10</v>
      </c>
      <c r="C7" s="47" t="s">
        <v>0</v>
      </c>
      <c r="D7" s="57">
        <f>DATE($B$5,$B$7,3)</f>
        <v>45202</v>
      </c>
      <c r="E7" s="55">
        <v>3</v>
      </c>
      <c r="F7" s="56" t="str">
        <f t="shared" si="0"/>
        <v>火</v>
      </c>
      <c r="G7" s="59"/>
      <c r="H7" s="60"/>
      <c r="I7" s="61"/>
      <c r="J7" s="62"/>
    </row>
    <row r="8" spans="1:22" ht="16.899999999999999" customHeight="1" x14ac:dyDescent="0.15">
      <c r="D8" s="57">
        <f>DATE($B$5,$B$7,4)</f>
        <v>45203</v>
      </c>
      <c r="E8" s="55">
        <v>4</v>
      </c>
      <c r="F8" s="56" t="str">
        <f t="shared" si="0"/>
        <v>水</v>
      </c>
      <c r="G8" s="59"/>
      <c r="H8" s="60"/>
      <c r="I8" s="61"/>
      <c r="J8" s="62"/>
    </row>
    <row r="9" spans="1:22" ht="16.899999999999999" customHeight="1" x14ac:dyDescent="0.15">
      <c r="D9" s="57">
        <f>DATE($B$5,$B$7,5)</f>
        <v>45204</v>
      </c>
      <c r="E9" s="55">
        <v>5</v>
      </c>
      <c r="F9" s="56" t="str">
        <f t="shared" si="0"/>
        <v>木</v>
      </c>
      <c r="G9" s="59"/>
      <c r="H9" s="60"/>
      <c r="I9" s="61"/>
      <c r="J9" s="62"/>
    </row>
    <row r="10" spans="1:22" ht="16.899999999999999" customHeight="1" x14ac:dyDescent="0.15">
      <c r="A10" s="161" t="s">
        <v>90</v>
      </c>
      <c r="B10" s="161"/>
      <c r="C10" s="161"/>
      <c r="D10" s="57">
        <f>DATE($B$5,$B$7,6)</f>
        <v>45205</v>
      </c>
      <c r="E10" s="55">
        <v>6</v>
      </c>
      <c r="F10" s="56" t="str">
        <f t="shared" si="0"/>
        <v>金</v>
      </c>
      <c r="G10" s="59"/>
      <c r="H10" s="60"/>
      <c r="I10" s="61"/>
      <c r="J10" s="62"/>
    </row>
    <row r="11" spans="1:22" ht="16.899999999999999" customHeight="1" x14ac:dyDescent="0.15">
      <c r="A11" s="161"/>
      <c r="B11" s="161"/>
      <c r="C11" s="161"/>
      <c r="D11" s="57">
        <f>DATE($B$5,$B$7,7)</f>
        <v>45206</v>
      </c>
      <c r="E11" s="55">
        <v>7</v>
      </c>
      <c r="F11" s="56" t="str">
        <f t="shared" si="0"/>
        <v>土</v>
      </c>
      <c r="G11" s="59"/>
      <c r="H11" s="60"/>
      <c r="I11" s="61"/>
      <c r="J11" s="62"/>
    </row>
    <row r="12" spans="1:22" ht="16.899999999999999" customHeight="1" x14ac:dyDescent="0.15">
      <c r="A12" s="161"/>
      <c r="B12" s="161"/>
      <c r="C12" s="161"/>
      <c r="D12" s="57">
        <f>DATE($B$5,$B$7,8)</f>
        <v>45207</v>
      </c>
      <c r="E12" s="55">
        <v>8</v>
      </c>
      <c r="F12" s="56" t="str">
        <f t="shared" si="0"/>
        <v>日</v>
      </c>
      <c r="G12" s="59"/>
      <c r="H12" s="60"/>
      <c r="I12" s="61"/>
      <c r="J12" s="62"/>
    </row>
    <row r="13" spans="1:22" ht="16.899999999999999" customHeight="1" x14ac:dyDescent="0.15">
      <c r="A13" s="161"/>
      <c r="B13" s="161"/>
      <c r="C13" s="161"/>
      <c r="D13" s="57">
        <f>DATE($B$5,$B$7,9)</f>
        <v>45208</v>
      </c>
      <c r="E13" s="55">
        <v>9</v>
      </c>
      <c r="F13" s="56" t="str">
        <f t="shared" si="0"/>
        <v>月</v>
      </c>
      <c r="G13" s="59"/>
      <c r="H13" s="60"/>
      <c r="I13" s="61"/>
      <c r="J13" s="62"/>
    </row>
    <row r="14" spans="1:22" ht="16.899999999999999" customHeight="1" x14ac:dyDescent="0.15">
      <c r="A14" s="161"/>
      <c r="B14" s="161"/>
      <c r="C14" s="161"/>
      <c r="D14" s="57">
        <f>DATE($B$5,$B$7,10)</f>
        <v>45209</v>
      </c>
      <c r="E14" s="55">
        <v>10</v>
      </c>
      <c r="F14" s="56" t="str">
        <f t="shared" si="0"/>
        <v>火</v>
      </c>
      <c r="G14" s="59"/>
      <c r="H14" s="60"/>
      <c r="I14" s="61"/>
      <c r="J14" s="62"/>
    </row>
    <row r="15" spans="1:22" ht="16.899999999999999" customHeight="1" x14ac:dyDescent="0.15">
      <c r="A15" s="82" t="s">
        <v>91</v>
      </c>
      <c r="B15" s="83"/>
      <c r="D15" s="57">
        <f>DATE($B$5,$B$7,11)</f>
        <v>45210</v>
      </c>
      <c r="E15" s="55">
        <v>11</v>
      </c>
      <c r="F15" s="56" t="str">
        <f t="shared" si="0"/>
        <v>水</v>
      </c>
      <c r="G15" s="59"/>
      <c r="H15" s="60"/>
      <c r="I15" s="61"/>
      <c r="J15" s="62"/>
    </row>
    <row r="16" spans="1:22" ht="16.899999999999999" customHeight="1" x14ac:dyDescent="0.15">
      <c r="A16" s="85" t="s">
        <v>92</v>
      </c>
      <c r="B16" s="83"/>
      <c r="C16" s="86"/>
      <c r="D16" s="57">
        <f>DATE($B$5,$B$7,12)</f>
        <v>45211</v>
      </c>
      <c r="E16" s="55">
        <v>12</v>
      </c>
      <c r="F16" s="56" t="str">
        <f t="shared" si="0"/>
        <v>木</v>
      </c>
      <c r="G16" s="59"/>
      <c r="H16" s="60"/>
      <c r="I16" s="61"/>
      <c r="J16" s="62"/>
    </row>
    <row r="17" spans="1:10" ht="16.899999999999999" customHeight="1" x14ac:dyDescent="0.15">
      <c r="A17" s="83"/>
      <c r="B17" s="83"/>
      <c r="D17" s="57">
        <f>DATE($B$5,$B$7,13)</f>
        <v>45212</v>
      </c>
      <c r="E17" s="55">
        <v>13</v>
      </c>
      <c r="F17" s="56" t="str">
        <f t="shared" si="0"/>
        <v>金</v>
      </c>
      <c r="G17" s="59"/>
      <c r="H17" s="60"/>
      <c r="I17" s="61"/>
      <c r="J17" s="62"/>
    </row>
    <row r="18" spans="1:10" ht="16.899999999999999" customHeight="1" x14ac:dyDescent="0.15">
      <c r="A18" s="83"/>
      <c r="B18" s="83"/>
      <c r="D18" s="57">
        <f>DATE($B$5,$B$7,14)</f>
        <v>45213</v>
      </c>
      <c r="E18" s="55">
        <v>14</v>
      </c>
      <c r="F18" s="56" t="str">
        <f t="shared" si="0"/>
        <v>土</v>
      </c>
      <c r="G18" s="59"/>
      <c r="H18" s="60"/>
      <c r="I18" s="61"/>
      <c r="J18" s="62"/>
    </row>
    <row r="19" spans="1:10" ht="16.899999999999999" customHeight="1" x14ac:dyDescent="0.15">
      <c r="A19" s="83"/>
      <c r="B19" s="83"/>
      <c r="D19" s="57">
        <f>DATE($B$5,$B$7,15)</f>
        <v>45214</v>
      </c>
      <c r="E19" s="55">
        <v>15</v>
      </c>
      <c r="F19" s="56" t="str">
        <f t="shared" si="0"/>
        <v>日</v>
      </c>
      <c r="G19" s="59"/>
      <c r="H19" s="60"/>
      <c r="I19" s="61"/>
      <c r="J19" s="62"/>
    </row>
    <row r="20" spans="1:10" ht="16.899999999999999" customHeight="1" x14ac:dyDescent="0.15">
      <c r="A20" s="83"/>
      <c r="B20" s="83"/>
      <c r="D20" s="57">
        <f>DATE($B$5,$B$7,16)</f>
        <v>45215</v>
      </c>
      <c r="E20" s="55">
        <v>16</v>
      </c>
      <c r="F20" s="56" t="str">
        <f t="shared" si="0"/>
        <v>月</v>
      </c>
      <c r="G20" s="59"/>
      <c r="H20" s="60"/>
      <c r="I20" s="61"/>
      <c r="J20" s="62"/>
    </row>
    <row r="21" spans="1:10" ht="16.899999999999999" customHeight="1" x14ac:dyDescent="0.15">
      <c r="A21" s="83"/>
      <c r="B21" s="83"/>
      <c r="D21" s="57">
        <f>DATE($B$5,$B$7,17)</f>
        <v>45216</v>
      </c>
      <c r="E21" s="55">
        <v>17</v>
      </c>
      <c r="F21" s="56" t="str">
        <f t="shared" si="0"/>
        <v>火</v>
      </c>
      <c r="G21" s="59"/>
      <c r="H21" s="60"/>
      <c r="I21" s="61"/>
      <c r="J21" s="62"/>
    </row>
    <row r="22" spans="1:10" ht="16.899999999999999" customHeight="1" x14ac:dyDescent="0.15">
      <c r="D22" s="57">
        <f>DATE($B$5,$B$7,18)</f>
        <v>45217</v>
      </c>
      <c r="E22" s="55">
        <v>18</v>
      </c>
      <c r="F22" s="56" t="str">
        <f t="shared" si="0"/>
        <v>水</v>
      </c>
      <c r="G22" s="59"/>
      <c r="H22" s="60"/>
      <c r="I22" s="61"/>
      <c r="J22" s="62"/>
    </row>
    <row r="23" spans="1:10" ht="16.899999999999999" customHeight="1" x14ac:dyDescent="0.15">
      <c r="D23" s="57">
        <f>DATE($B$5,$B$7,19)</f>
        <v>45218</v>
      </c>
      <c r="E23" s="55">
        <v>19</v>
      </c>
      <c r="F23" s="56" t="str">
        <f t="shared" si="0"/>
        <v>木</v>
      </c>
      <c r="G23" s="59"/>
      <c r="H23" s="60"/>
      <c r="I23" s="61"/>
      <c r="J23" s="62"/>
    </row>
    <row r="24" spans="1:10" ht="16.899999999999999" customHeight="1" x14ac:dyDescent="0.15">
      <c r="D24" s="57">
        <f>DATE($B$5,$B$7,20)</f>
        <v>45219</v>
      </c>
      <c r="E24" s="55">
        <v>20</v>
      </c>
      <c r="F24" s="56" t="str">
        <f t="shared" si="0"/>
        <v>金</v>
      </c>
      <c r="G24" s="59"/>
      <c r="H24" s="60"/>
      <c r="I24" s="61"/>
      <c r="J24" s="62"/>
    </row>
    <row r="25" spans="1:10" ht="16.899999999999999" customHeight="1" x14ac:dyDescent="0.15">
      <c r="D25" s="57">
        <f>DATE($B$5,$B$7,21)</f>
        <v>45220</v>
      </c>
      <c r="E25" s="55">
        <v>21</v>
      </c>
      <c r="F25" s="56" t="str">
        <f t="shared" si="0"/>
        <v>土</v>
      </c>
      <c r="G25" s="59"/>
      <c r="H25" s="60"/>
      <c r="I25" s="61"/>
      <c r="J25" s="62"/>
    </row>
    <row r="26" spans="1:10" ht="16.899999999999999" customHeight="1" x14ac:dyDescent="0.15">
      <c r="D26" s="57">
        <f>DATE($B$5,$B$7,22)</f>
        <v>45221</v>
      </c>
      <c r="E26" s="55">
        <v>22</v>
      </c>
      <c r="F26" s="56" t="str">
        <f t="shared" si="0"/>
        <v>日</v>
      </c>
      <c r="G26" s="59"/>
      <c r="H26" s="60"/>
      <c r="I26" s="61"/>
      <c r="J26" s="62"/>
    </row>
    <row r="27" spans="1:10" ht="16.899999999999999" customHeight="1" x14ac:dyDescent="0.15">
      <c r="D27" s="57">
        <f>DATE($B$5,$B$7,23)</f>
        <v>45222</v>
      </c>
      <c r="E27" s="55">
        <v>23</v>
      </c>
      <c r="F27" s="56" t="str">
        <f t="shared" si="0"/>
        <v>月</v>
      </c>
      <c r="G27" s="59"/>
      <c r="H27" s="60"/>
      <c r="I27" s="61"/>
      <c r="J27" s="62"/>
    </row>
    <row r="28" spans="1:10" ht="16.899999999999999" customHeight="1" x14ac:dyDescent="0.15">
      <c r="D28" s="57">
        <f>DATE($B$5,$B$7,24)</f>
        <v>45223</v>
      </c>
      <c r="E28" s="55">
        <v>24</v>
      </c>
      <c r="F28" s="56" t="str">
        <f t="shared" si="0"/>
        <v>火</v>
      </c>
      <c r="G28" s="59"/>
      <c r="H28" s="60"/>
      <c r="I28" s="61"/>
      <c r="J28" s="62"/>
    </row>
    <row r="29" spans="1:10" ht="16.899999999999999" customHeight="1" x14ac:dyDescent="0.15">
      <c r="D29" s="57">
        <f>DATE($B$5,$B$7,25)</f>
        <v>45224</v>
      </c>
      <c r="E29" s="55">
        <v>25</v>
      </c>
      <c r="F29" s="56" t="str">
        <f t="shared" si="0"/>
        <v>水</v>
      </c>
      <c r="G29" s="59"/>
      <c r="H29" s="60"/>
      <c r="I29" s="61"/>
      <c r="J29" s="62"/>
    </row>
    <row r="30" spans="1:10" ht="16.899999999999999" customHeight="1" x14ac:dyDescent="0.15">
      <c r="D30" s="57">
        <f>DATE($B$5,$B$7,26)</f>
        <v>45225</v>
      </c>
      <c r="E30" s="55">
        <v>26</v>
      </c>
      <c r="F30" s="56" t="str">
        <f t="shared" si="0"/>
        <v>木</v>
      </c>
      <c r="G30" s="59"/>
      <c r="H30" s="60"/>
      <c r="I30" s="61"/>
      <c r="J30" s="62"/>
    </row>
    <row r="31" spans="1:10" ht="16.899999999999999" customHeight="1" x14ac:dyDescent="0.15">
      <c r="D31" s="57">
        <f>DATE($B$5,$B$7,27)</f>
        <v>45226</v>
      </c>
      <c r="E31" s="55">
        <v>27</v>
      </c>
      <c r="F31" s="56" t="str">
        <f t="shared" si="0"/>
        <v>金</v>
      </c>
      <c r="G31" s="59"/>
      <c r="H31" s="60"/>
      <c r="I31" s="61"/>
      <c r="J31" s="62"/>
    </row>
    <row r="32" spans="1:10" ht="16.899999999999999" customHeight="1" x14ac:dyDescent="0.15">
      <c r="D32" s="57">
        <f>DATE($B$5,$B$7,28)</f>
        <v>45227</v>
      </c>
      <c r="E32" s="55">
        <v>28</v>
      </c>
      <c r="F32" s="56" t="str">
        <f t="shared" si="0"/>
        <v>土</v>
      </c>
      <c r="G32" s="59"/>
      <c r="H32" s="60"/>
      <c r="I32" s="61"/>
      <c r="J32" s="62"/>
    </row>
    <row r="33" spans="4:10" ht="16.899999999999999" customHeight="1" x14ac:dyDescent="0.15">
      <c r="D33" s="57">
        <f>DATE($B$5,$B$7,29)</f>
        <v>45228</v>
      </c>
      <c r="E33" s="55">
        <f>IF(B7=2,IF(INT(B5/4)=(B5/4),29,""),29)</f>
        <v>29</v>
      </c>
      <c r="F33" s="56" t="str">
        <f t="shared" si="0"/>
        <v>日</v>
      </c>
      <c r="G33" s="59"/>
      <c r="H33" s="60"/>
      <c r="I33" s="61"/>
      <c r="J33" s="62"/>
    </row>
    <row r="34" spans="4:10" ht="16.899999999999999" customHeight="1" x14ac:dyDescent="0.15">
      <c r="D34" s="57">
        <f>DATE($B$5,$B$7,30)</f>
        <v>45229</v>
      </c>
      <c r="E34" s="55">
        <f>IF(B7=2,"",30)</f>
        <v>30</v>
      </c>
      <c r="F34" s="56" t="str">
        <f t="shared" si="0"/>
        <v>月</v>
      </c>
      <c r="G34" s="59"/>
      <c r="H34" s="60"/>
      <c r="I34" s="61"/>
      <c r="J34" s="62"/>
    </row>
    <row r="35" spans="4:10" ht="16.899999999999999" customHeight="1" x14ac:dyDescent="0.15">
      <c r="D35" s="57">
        <f>DATE($B$5,$B$7,31)</f>
        <v>45230</v>
      </c>
      <c r="E35" s="55">
        <f>IF(OR(B7=2,B7=4,B7=6,B7=9,B7=11),"",31)</f>
        <v>31</v>
      </c>
      <c r="F35" s="56" t="str">
        <f t="shared" si="0"/>
        <v>火</v>
      </c>
      <c r="G35" s="59"/>
      <c r="H35" s="60"/>
      <c r="I35" s="61"/>
      <c r="J35" s="62"/>
    </row>
  </sheetData>
  <sheetProtection algorithmName="SHA-512" hashValue="ZXfeg0p+knwHhmhUToNg5CoJe8mrThQCClUNe2LZDae4/yrrtgle57GkMNXIBo9lxFuqt43sd/5/23BZe2sldg==" saltValue="55CLC4CENltAb2+ryNUFEg==" spinCount="100000" sheet="1" objects="1" scenarios="1"/>
  <protectedRanges>
    <protectedRange sqref="B5 B7 G5:J35" name="フリー編集可"/>
  </protectedRanges>
  <mergeCells count="6">
    <mergeCell ref="H3:J3"/>
    <mergeCell ref="A10:C14"/>
    <mergeCell ref="A1:D3"/>
    <mergeCell ref="E3:E4"/>
    <mergeCell ref="F3:F4"/>
    <mergeCell ref="G3:G4"/>
  </mergeCells>
  <phoneticPr fontId="1"/>
  <conditionalFormatting sqref="E5:E35">
    <cfRule type="expression" dxfId="6" priority="1">
      <formula>$F5="土"</formula>
    </cfRule>
    <cfRule type="expression" dxfId="5" priority="2">
      <formula>$F5="日"</formula>
    </cfRule>
  </conditionalFormatting>
  <conditionalFormatting sqref="F5:F35">
    <cfRule type="cellIs" dxfId="4" priority="3" operator="equal">
      <formula>"日"</formula>
    </cfRule>
    <cfRule type="cellIs" dxfId="3" priority="4" operator="equal">
      <formula>"土"</formula>
    </cfRule>
  </conditionalFormatting>
  <dataValidations count="1">
    <dataValidation type="whole" allowBlank="1" showInputMessage="1" showErrorMessage="1" sqref="B7" xr:uid="{00000000-0002-0000-0400-000000000000}">
      <formula1>1</formula1>
      <formula2>12</formula2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tabColor theme="4" tint="0.59999389629810485"/>
  </sheetPr>
  <dimension ref="C1:R29"/>
  <sheetViews>
    <sheetView zoomScale="70" zoomScaleNormal="70" zoomScaleSheetLayoutView="70" workbookViewId="0">
      <selection activeCell="C1" sqref="C1:H1"/>
    </sheetView>
  </sheetViews>
  <sheetFormatPr defaultColWidth="8.875" defaultRowHeight="13.5" x14ac:dyDescent="0.15"/>
  <cols>
    <col min="1" max="2" width="8.875" style="17"/>
    <col min="3" max="3" width="7.125" style="17" customWidth="1"/>
    <col min="4" max="4" width="22.25" style="17" customWidth="1"/>
    <col min="5" max="5" width="7.125" style="17" customWidth="1"/>
    <col min="6" max="6" width="22.25" style="17" customWidth="1"/>
    <col min="7" max="7" width="7.125" style="17" customWidth="1"/>
    <col min="8" max="8" width="22.25" style="17" customWidth="1"/>
    <col min="9" max="9" width="7.125" style="17" customWidth="1"/>
    <col min="10" max="10" width="22.25" style="17" customWidth="1"/>
    <col min="11" max="11" width="7.125" style="17" customWidth="1"/>
    <col min="12" max="12" width="22.25" style="17" customWidth="1"/>
    <col min="13" max="13" width="7.125" style="17" customWidth="1"/>
    <col min="14" max="14" width="22.25" style="17" customWidth="1"/>
    <col min="15" max="15" width="7.125" style="17" customWidth="1"/>
    <col min="16" max="16" width="22.25" style="17" customWidth="1"/>
    <col min="17" max="16384" width="8.875" style="17"/>
  </cols>
  <sheetData>
    <row r="1" spans="3:18" ht="40.9" customHeight="1" x14ac:dyDescent="0.15">
      <c r="C1" s="145">
        <f>フリー入力!D5</f>
        <v>45200</v>
      </c>
      <c r="D1" s="145"/>
      <c r="E1" s="145"/>
      <c r="F1" s="145"/>
      <c r="G1" s="145"/>
      <c r="H1" s="145"/>
      <c r="N1" s="46" t="s">
        <v>71</v>
      </c>
      <c r="O1" s="45"/>
      <c r="P1" s="45"/>
    </row>
    <row r="2" spans="3:18" ht="4.9000000000000004" customHeight="1" x14ac:dyDescent="0.15">
      <c r="C2" s="44"/>
      <c r="D2" s="44"/>
      <c r="E2" s="44"/>
      <c r="F2" s="30"/>
    </row>
    <row r="3" spans="3:18" ht="28.15" customHeight="1" x14ac:dyDescent="0.15">
      <c r="C3" s="150" t="s">
        <v>8</v>
      </c>
      <c r="D3" s="151"/>
      <c r="E3" s="150" t="s">
        <v>9</v>
      </c>
      <c r="F3" s="151"/>
      <c r="G3" s="150" t="s">
        <v>10</v>
      </c>
      <c r="H3" s="151"/>
      <c r="I3" s="150" t="s">
        <v>11</v>
      </c>
      <c r="J3" s="151"/>
      <c r="K3" s="150" t="s">
        <v>12</v>
      </c>
      <c r="L3" s="151"/>
      <c r="M3" s="152" t="s">
        <v>13</v>
      </c>
      <c r="N3" s="153"/>
      <c r="O3" s="154" t="s">
        <v>2</v>
      </c>
      <c r="P3" s="155"/>
    </row>
    <row r="4" spans="3:18" ht="28.15" customHeight="1" x14ac:dyDescent="0.15">
      <c r="C4" s="32">
        <f>IF(C28&lt;&gt;0,C28,IF(E28&lt;&gt;0,E28-1,IF(G28&lt;&gt;0,G28-2,IF(I28&lt;&gt;0,I28-3,IF(K28&lt;&gt;0,K28-4,IF(M28&lt;&gt;0,M28-5,O28-6))))))</f>
        <v>45194</v>
      </c>
      <c r="D4" s="110" t="str">
        <f>IF(DAY(C4)&gt;7,"",IF(VLOOKUP(DAY(C4),フリー入力!$E$5:$G$35,3,0)="","",VLOOKUP(DAY(C4),フリー入力!$E$5:$G$35,3,0)))</f>
        <v/>
      </c>
      <c r="E4" s="32">
        <f>IF(C28&lt;&gt;0,C28+1,IF(E28&lt;&gt;0,E28,IF(G28&lt;&gt;0,G28-1,IF(I28&lt;&gt;0,I28-2,IF(K28&lt;&gt;0,K28-3,IF(M28&lt;&gt;0,M28-4,O28-5))))))</f>
        <v>45195</v>
      </c>
      <c r="F4" s="110" t="str">
        <f>IF(DAY(E4)&gt;7,"",IF(VLOOKUP(DAY(E4),フリー入力!$E$5:$G$35,3,0)="","",VLOOKUP(DAY(E4),フリー入力!$E$5:$G$35,3,0)))</f>
        <v/>
      </c>
      <c r="G4" s="32">
        <f>IF(C28&lt;&gt;0,C28+2,IF(E28&lt;&gt;0,E28+1,IF(G28&lt;&gt;0,G28,IF(I28&lt;&gt;0,I28-1,IF(K28&lt;&gt;0,K28-2,IF(M28&lt;&gt;0,M28-3,O28-4))))))</f>
        <v>45196</v>
      </c>
      <c r="H4" s="110" t="str">
        <f>IF(DAY(G4)&gt;7,"",IF(VLOOKUP(DAY(G4),フリー入力!$E$5:$G$35,3,0)="","",VLOOKUP(DAY(G4),フリー入力!$E$5:$G$35,3,0)))</f>
        <v/>
      </c>
      <c r="I4" s="32">
        <f>IF(C28&lt;&gt;0,C28+3,IF(E28&lt;&gt;0,E28+2,IF(G28&lt;&gt;0,G28+1,IF(I28&lt;&gt;0,I28,IF(K28&lt;&gt;0,K28-1,IF(M28&lt;&gt;0,M28-2,O28-3))))))</f>
        <v>45197</v>
      </c>
      <c r="J4" s="110" t="str">
        <f>IF(DAY(I4)&gt;7,"",IF(VLOOKUP(DAY(I4),フリー入力!$E$5:$G$35,3,0)="","",VLOOKUP(DAY(I4),フリー入力!$E$5:$G$35,3,0)))</f>
        <v/>
      </c>
      <c r="K4" s="32">
        <f>IF(C28&lt;&gt;0,C28+4,IF(E28&lt;&gt;0,E28+3,IF(G28&lt;&gt;0,G28+2,IF(I28&lt;&gt;0,I28+1,IF(K28&lt;&gt;0,K28,IF(M28&lt;&gt;0,M28-1,O28-2))))))</f>
        <v>45198</v>
      </c>
      <c r="L4" s="110" t="str">
        <f>IF(DAY(K4)&gt;7,"",IF(VLOOKUP(DAY(K4),フリー入力!$E$5:$G$35,3,0)="","",VLOOKUP(DAY(K4),フリー入力!$E$5:$G$35,3,0)))</f>
        <v/>
      </c>
      <c r="M4" s="33">
        <f>IF(C28&lt;&gt;0,C28+5,IF(E28&lt;&gt;0,E28+4,IF(G28&lt;&gt;0,G28+3,IF(I28&lt;&gt;0,I28+2,IF(K28&lt;&gt;0,K28+1,IF(M28&lt;&gt;0,M28,O28-1))))))</f>
        <v>45199</v>
      </c>
      <c r="N4" s="110" t="str">
        <f>IF(DAY(M4)&gt;7,"",IF(VLOOKUP(DAY(M4),フリー入力!$E$5:$G$35,3,0)="","",VLOOKUP(DAY(M4),フリー入力!$E$5:$G$35,3,0)))</f>
        <v/>
      </c>
      <c r="O4" s="34">
        <f>IF(C28&lt;&gt;0,C28+6,IF(E28&lt;&gt;0,E28+5,IF(G28&lt;&gt;0,G28+4,IF(I28&lt;&gt;0,I28+3,IF(K28&lt;&gt;0,K28+2,IF(M28&lt;&gt;0,M28+1,O28))))))</f>
        <v>45200</v>
      </c>
      <c r="P4" s="111" t="str">
        <f>IF(DAY(O4)&gt;7,"",IF(VLOOKUP(DAY(O4),フリー入力!$E$5:$G$35,3,0)="","",VLOOKUP(DAY(O4),フリー入力!$E$5:$G$35,3,0)))</f>
        <v/>
      </c>
    </row>
    <row r="5" spans="3:18" ht="28.15" customHeight="1" x14ac:dyDescent="0.15">
      <c r="C5" s="146" t="str">
        <f>IF(C4&lt;$C$1,"",IF(VLOOKUP(DAY(C4),フリー入力!$E$5:$J$35,4,0)=0,"",VLOOKUP(DAY(C4),フリー入力!$E$5:$J$35,4,0)))</f>
        <v/>
      </c>
      <c r="D5" s="147"/>
      <c r="E5" s="146" t="str">
        <f>IF(E4&lt;$C$1,"",IF(VLOOKUP(DAY(E4),フリー入力!$E$5:$J$35,4,0)=0,"",VLOOKUP(DAY(E4),フリー入力!$E$5:$J$35,4,0)))</f>
        <v/>
      </c>
      <c r="F5" s="147"/>
      <c r="G5" s="146" t="str">
        <f>IF(G4&lt;$C$1,"",IF(VLOOKUP(DAY(G4),フリー入力!$E$5:$J$35,4,0)=0,"",VLOOKUP(DAY(G4),フリー入力!$E$5:$J$35,4,0)))</f>
        <v/>
      </c>
      <c r="H5" s="147"/>
      <c r="I5" s="146" t="str">
        <f>IF(I4&lt;$C$1,"",IF(VLOOKUP(DAY(I4),フリー入力!$E$5:$J$35,4,0)=0,"",VLOOKUP(DAY(I4),フリー入力!$E$5:$J$35,4,0)))</f>
        <v/>
      </c>
      <c r="J5" s="147"/>
      <c r="K5" s="146" t="str">
        <f>IF(K4&lt;$C$1,"",IF(VLOOKUP(DAY(K4),フリー入力!$E$5:$J$35,4,0)=0,"",VLOOKUP(DAY(K4),フリー入力!$E$5:$J$35,4,0)))</f>
        <v/>
      </c>
      <c r="L5" s="147"/>
      <c r="M5" s="146" t="str">
        <f>IF(M4&lt;$C$1,"",IF(VLOOKUP(DAY(M4),フリー入力!$E$5:$J$35,4,0)=0,"",VLOOKUP(DAY(M4),フリー入力!$E$5:$J$35,4,0)))</f>
        <v/>
      </c>
      <c r="N5" s="147"/>
      <c r="O5" s="146" t="str">
        <f>IF(O4&lt;$C$1,"",IF(VLOOKUP(DAY(O4),フリー入力!$E$5:$J$35,4,0)=0,"",VLOOKUP(DAY(O4),フリー入力!$E$5:$J$35,4,0)))</f>
        <v/>
      </c>
      <c r="P5" s="147"/>
    </row>
    <row r="6" spans="3:18" ht="28.15" customHeight="1" x14ac:dyDescent="0.15">
      <c r="C6" s="146" t="str">
        <f>IF(C4&lt;$C$1,"",IF(VLOOKUP(DAY(C4),フリー入力!$E$5:$J$35,5,0)=0,"",VLOOKUP(DAY(C4),フリー入力!$E$5:$J$35,5,0)))</f>
        <v/>
      </c>
      <c r="D6" s="147"/>
      <c r="E6" s="146" t="str">
        <f>IF(E4&lt;$C$1,"",IF(VLOOKUP(DAY(E4),フリー入力!$E$5:$J$35,5,0)=0,"",VLOOKUP(DAY(E4),フリー入力!$E$5:$J$35,5,0)))</f>
        <v/>
      </c>
      <c r="F6" s="147"/>
      <c r="G6" s="146" t="str">
        <f>IF(G4&lt;$C$1,"",IF(VLOOKUP(DAY(G4),フリー入力!$E$5:$J$35,5,0)=0,"",VLOOKUP(DAY(G4),フリー入力!$E$5:$J$35,5,0)))</f>
        <v/>
      </c>
      <c r="H6" s="147"/>
      <c r="I6" s="146" t="str">
        <f>IF(I4&lt;$C$1,"",IF(VLOOKUP(DAY(I4),フリー入力!$E$5:$J$35,5,0)=0,"",VLOOKUP(DAY(I4),フリー入力!$E$5:$J$35,5,0)))</f>
        <v/>
      </c>
      <c r="J6" s="147"/>
      <c r="K6" s="146" t="str">
        <f>IF(K4&lt;$C$1,"",IF(VLOOKUP(DAY(K4),フリー入力!$E$5:$J$35,5,0)=0,"",VLOOKUP(DAY(K4),フリー入力!$E$5:$J$35,5,0)))</f>
        <v/>
      </c>
      <c r="L6" s="147"/>
      <c r="M6" s="146" t="str">
        <f>IF(M4&lt;$C$1,"",IF(VLOOKUP(DAY(M4),フリー入力!$E$5:$J$35,5,0)=0,"",VLOOKUP(DAY(M4),フリー入力!$E$5:$J$35,5,0)))</f>
        <v/>
      </c>
      <c r="N6" s="147"/>
      <c r="O6" s="146" t="str">
        <f>IF(O4&lt;$C$1,"",IF(VLOOKUP(DAY(O4),フリー入力!$E$5:$J$35,5,0)=0,"",VLOOKUP(DAY(O4),フリー入力!$E$5:$J$35,5,0)))</f>
        <v/>
      </c>
      <c r="P6" s="147"/>
    </row>
    <row r="7" spans="3:18" ht="28.15" customHeight="1" x14ac:dyDescent="0.15">
      <c r="C7" s="148" t="str">
        <f>IF(C4&lt;$C$1,"",IF(VLOOKUP(DAY(C4),フリー入力!$E$5:$J$35,6,0)=0,"",VLOOKUP(DAY(C4),フリー入力!$E$5:$J$35,6,0)))</f>
        <v/>
      </c>
      <c r="D7" s="149"/>
      <c r="E7" s="148" t="str">
        <f>IF(E4&lt;$C$1,"",IF(VLOOKUP(DAY(E4),フリー入力!$E$5:$J$35,6,0)=0,"",VLOOKUP(DAY(E4),フリー入力!$E$5:$J$35,6,0)))</f>
        <v/>
      </c>
      <c r="F7" s="149"/>
      <c r="G7" s="148" t="str">
        <f>IF(G4&lt;$C$1,"",IF(VLOOKUP(DAY(G4),フリー入力!$E$5:$J$35,6,0)=0,"",VLOOKUP(DAY(G4),フリー入力!$E$5:$J$35,6,0)))</f>
        <v/>
      </c>
      <c r="H7" s="149"/>
      <c r="I7" s="148" t="str">
        <f>IF(I4&lt;$C$1,"",IF(VLOOKUP(DAY(I4),フリー入力!$E$5:$J$35,6,0)=0,"",VLOOKUP(DAY(I4),フリー入力!$E$5:$J$35,6,0)))</f>
        <v/>
      </c>
      <c r="J7" s="149"/>
      <c r="K7" s="148" t="str">
        <f>IF(K4&lt;$C$1,"",IF(VLOOKUP(DAY(K4),フリー入力!$E$5:$J$35,6,0)=0,"",VLOOKUP(DAY(K4),フリー入力!$E$5:$J$35,6,0)))</f>
        <v/>
      </c>
      <c r="L7" s="149"/>
      <c r="M7" s="148" t="str">
        <f>IF(M4&lt;$C$1,"",IF(VLOOKUP(DAY(M4),フリー入力!$E$5:$J$35,6,0)=0,"",VLOOKUP(DAY(M4),フリー入力!$E$5:$J$35,6,0)))</f>
        <v/>
      </c>
      <c r="N7" s="149"/>
      <c r="O7" s="148" t="str">
        <f>IF(O4&lt;$C$1,"",IF(VLOOKUP(DAY(O4),フリー入力!$E$5:$J$35,6,0)=0,"",VLOOKUP(DAY(O4),フリー入力!$E$5:$J$35,6,0)))</f>
        <v/>
      </c>
      <c r="P7" s="149"/>
    </row>
    <row r="8" spans="3:18" ht="28.15" customHeight="1" x14ac:dyDescent="0.15">
      <c r="C8" s="32">
        <f t="shared" ref="C8:O8" si="0">C4+7</f>
        <v>45201</v>
      </c>
      <c r="D8" s="110" t="str">
        <f>IF(VLOOKUP(DAY(C8),フリー入力!$E$5:$G$35,3,0)="","",VLOOKUP(DAY(C8),フリー入力!$E$5:$G$35,3,0))</f>
        <v/>
      </c>
      <c r="E8" s="32">
        <f t="shared" si="0"/>
        <v>45202</v>
      </c>
      <c r="F8" s="110" t="str">
        <f>IF(VLOOKUP(DAY(E8),フリー入力!$E$5:$G$35,3,0)="","",VLOOKUP(DAY(E8),フリー入力!$E$5:$G$35,3,0))</f>
        <v/>
      </c>
      <c r="G8" s="32">
        <f t="shared" si="0"/>
        <v>45203</v>
      </c>
      <c r="H8" s="110" t="str">
        <f>IF(VLOOKUP(DAY(G8),フリー入力!$E$5:$G$35,3,0)="","",VLOOKUP(DAY(G8),フリー入力!$E$5:$G$35,3,0))</f>
        <v/>
      </c>
      <c r="I8" s="32">
        <f t="shared" si="0"/>
        <v>45204</v>
      </c>
      <c r="J8" s="110" t="str">
        <f>IF(VLOOKUP(DAY(I8),フリー入力!$E$5:$G$35,3,0)="","",VLOOKUP(DAY(I8),フリー入力!$E$5:$G$35,3,0))</f>
        <v/>
      </c>
      <c r="K8" s="32">
        <f t="shared" si="0"/>
        <v>45205</v>
      </c>
      <c r="L8" s="110" t="str">
        <f>IF(VLOOKUP(DAY(K8),フリー入力!$E$5:$G$35,3,0)="","",VLOOKUP(DAY(K8),フリー入力!$E$5:$G$35,3,0))</f>
        <v/>
      </c>
      <c r="M8" s="33">
        <f t="shared" si="0"/>
        <v>45206</v>
      </c>
      <c r="N8" s="110" t="str">
        <f>IF(VLOOKUP(DAY(M8),フリー入力!$E$5:$G$35,3,0)="","",VLOOKUP(DAY(M8),フリー入力!$E$5:$G$35,3,0))</f>
        <v/>
      </c>
      <c r="O8" s="34">
        <f t="shared" si="0"/>
        <v>45207</v>
      </c>
      <c r="P8" s="111" t="str">
        <f>IF(VLOOKUP(DAY(O8),フリー入力!$E$5:$G$35,3,0)="","",VLOOKUP(DAY(O8),フリー入力!$E$5:$G$35,3,0))</f>
        <v/>
      </c>
    </row>
    <row r="9" spans="3:18" ht="28.15" customHeight="1" x14ac:dyDescent="0.15">
      <c r="C9" s="146" t="str">
        <f>IF(VLOOKUP(DAY(C8),フリー入力!$E$5:$J$35,4,0)=0,"",VLOOKUP(DAY(C8),フリー入力!$E$5:$J$35,4,0))</f>
        <v/>
      </c>
      <c r="D9" s="147"/>
      <c r="E9" s="146" t="str">
        <f>IF(VLOOKUP(DAY(E8),フリー入力!$E$5:$J$35,4,0)=0,"",VLOOKUP(DAY(E8),フリー入力!$E$5:$J$35,4,0))</f>
        <v/>
      </c>
      <c r="F9" s="147"/>
      <c r="G9" s="146" t="str">
        <f>IF(VLOOKUP(DAY(G8),フリー入力!$E$5:$J$35,4,0)=0,"",VLOOKUP(DAY(G8),フリー入力!$E$5:$J$35,4,0))</f>
        <v/>
      </c>
      <c r="H9" s="147"/>
      <c r="I9" s="146" t="str">
        <f>IF(VLOOKUP(DAY(I8),フリー入力!$E$5:$J$35,4,0)=0,"",VLOOKUP(DAY(I8),フリー入力!$E$5:$J$35,4,0))</f>
        <v/>
      </c>
      <c r="J9" s="147"/>
      <c r="K9" s="146" t="str">
        <f>IF(VLOOKUP(DAY(K8),フリー入力!$E$5:$J$35,4,0)=0,"",VLOOKUP(DAY(K8),フリー入力!$E$5:$J$35,4,0))</f>
        <v/>
      </c>
      <c r="L9" s="147"/>
      <c r="M9" s="146" t="str">
        <f>IF(VLOOKUP(DAY(M8),フリー入力!$E$5:$J$35,4,0)=0,"",VLOOKUP(DAY(M8),フリー入力!$E$5:$J$35,4,0))</f>
        <v/>
      </c>
      <c r="N9" s="147"/>
      <c r="O9" s="146" t="str">
        <f>IF(VLOOKUP(DAY(O8),フリー入力!$E$5:$J$35,4,0)=0,"",VLOOKUP(DAY(O8),フリー入力!$E$5:$J$35,4,0))</f>
        <v/>
      </c>
      <c r="P9" s="147"/>
    </row>
    <row r="10" spans="3:18" ht="28.15" customHeight="1" x14ac:dyDescent="0.15">
      <c r="C10" s="146" t="str">
        <f>IF(VLOOKUP(DAY(C8),フリー入力!$E$5:$J$35,5,0)=0,"",VLOOKUP(DAY(C8),フリー入力!$E$5:$J$35,5,0))</f>
        <v/>
      </c>
      <c r="D10" s="147"/>
      <c r="E10" s="146" t="str">
        <f>IF(VLOOKUP(DAY(E8),フリー入力!$E$5:$J$35,5,0)=0,"",VLOOKUP(DAY(E8),フリー入力!$E$5:$J$35,5,0))</f>
        <v/>
      </c>
      <c r="F10" s="147"/>
      <c r="G10" s="146" t="str">
        <f>IF(VLOOKUP(DAY(G8),フリー入力!$E$5:$J$35,5,0)=0,"",VLOOKUP(DAY(G8),フリー入力!$E$5:$J$35,5,0))</f>
        <v/>
      </c>
      <c r="H10" s="147"/>
      <c r="I10" s="146" t="str">
        <f>IF(VLOOKUP(DAY(I8),フリー入力!$E$5:$J$35,5,0)=0,"",VLOOKUP(DAY(I8),フリー入力!$E$5:$J$35,5,0))</f>
        <v/>
      </c>
      <c r="J10" s="147"/>
      <c r="K10" s="146" t="str">
        <f>IF(VLOOKUP(DAY(K8),フリー入力!$E$5:$J$35,5,0)=0,"",VLOOKUP(DAY(K8),フリー入力!$E$5:$J$35,5,0))</f>
        <v/>
      </c>
      <c r="L10" s="147"/>
      <c r="M10" s="146" t="str">
        <f>IF(VLOOKUP(DAY(M8),フリー入力!$E$5:$J$35,5,0)=0,"",VLOOKUP(DAY(M8),フリー入力!$E$5:$J$35,5,0))</f>
        <v/>
      </c>
      <c r="N10" s="147"/>
      <c r="O10" s="146" t="str">
        <f>IF(VLOOKUP(DAY(O8),フリー入力!$E$5:$J$35,5,0)=0,"",VLOOKUP(DAY(O8),フリー入力!$E$5:$J$35,5,0))</f>
        <v/>
      </c>
      <c r="P10" s="147"/>
    </row>
    <row r="11" spans="3:18" ht="28.15" customHeight="1" x14ac:dyDescent="0.15">
      <c r="C11" s="148" t="str">
        <f>IF(VLOOKUP(DAY(C8),フリー入力!$E$5:$J$35,6,0)=0,"",VLOOKUP(DAY(C8),フリー入力!$E$5:$J$35,6,0))</f>
        <v/>
      </c>
      <c r="D11" s="149"/>
      <c r="E11" s="148" t="str">
        <f>IF(VLOOKUP(DAY(E8),フリー入力!$E$5:$J$35,6,0)=0,"",VLOOKUP(DAY(E8),フリー入力!$E$5:$J$35,6,0))</f>
        <v/>
      </c>
      <c r="F11" s="149"/>
      <c r="G11" s="148" t="str">
        <f>IF(VLOOKUP(DAY(G8),フリー入力!$E$5:$J$35,6,0)=0,"",VLOOKUP(DAY(G8),フリー入力!$E$5:$J$35,6,0))</f>
        <v/>
      </c>
      <c r="H11" s="149"/>
      <c r="I11" s="148" t="str">
        <f>IF(VLOOKUP(DAY(I8),フリー入力!$E$5:$J$35,6,0)=0,"",VLOOKUP(DAY(I8),フリー入力!$E$5:$J$35,6,0))</f>
        <v/>
      </c>
      <c r="J11" s="149"/>
      <c r="K11" s="148" t="str">
        <f>IF(VLOOKUP(DAY(K8),フリー入力!$E$5:$J$35,6,0)=0,"",VLOOKUP(DAY(K8),フリー入力!$E$5:$J$35,6,0))</f>
        <v/>
      </c>
      <c r="L11" s="149"/>
      <c r="M11" s="148" t="str">
        <f>IF(VLOOKUP(DAY(M8),フリー入力!$E$5:$J$35,6,0)=0,"",VLOOKUP(DAY(M8),フリー入力!$E$5:$J$35,6,0))</f>
        <v/>
      </c>
      <c r="N11" s="149"/>
      <c r="O11" s="148" t="str">
        <f>IF(VLOOKUP(DAY(O8),フリー入力!$E$5:$J$35,6,0)=0,"",VLOOKUP(DAY(O8),フリー入力!$E$5:$J$35,6,0))</f>
        <v/>
      </c>
      <c r="P11" s="149"/>
    </row>
    <row r="12" spans="3:18" ht="28.15" customHeight="1" x14ac:dyDescent="0.15">
      <c r="C12" s="32">
        <f t="shared" ref="C12:O12" si="1">C4+14</f>
        <v>45208</v>
      </c>
      <c r="D12" s="110" t="str">
        <f>IF(VLOOKUP(DAY(C12),フリー入力!$E$5:$G$35,3,0)="","",VLOOKUP(DAY(C12),フリー入力!$E$5:$G$35,3,0))</f>
        <v/>
      </c>
      <c r="E12" s="32">
        <f t="shared" si="1"/>
        <v>45209</v>
      </c>
      <c r="F12" s="110" t="str">
        <f>IF(VLOOKUP(DAY(E12),フリー入力!$E$5:$G$35,3,0)="","",VLOOKUP(DAY(E12),フリー入力!$E$5:$G$35,3,0))</f>
        <v/>
      </c>
      <c r="G12" s="32">
        <f t="shared" si="1"/>
        <v>45210</v>
      </c>
      <c r="H12" s="110" t="str">
        <f>IF(VLOOKUP(DAY(G12),フリー入力!$E$5:$G$35,3,0)="","",VLOOKUP(DAY(G12),フリー入力!$E$5:$G$35,3,0))</f>
        <v/>
      </c>
      <c r="I12" s="32">
        <f t="shared" si="1"/>
        <v>45211</v>
      </c>
      <c r="J12" s="110" t="str">
        <f>IF(VLOOKUP(DAY(I12),フリー入力!$E$5:$G$35,3,0)="","",VLOOKUP(DAY(I12),フリー入力!$E$5:$G$35,3,0))</f>
        <v/>
      </c>
      <c r="K12" s="32">
        <f t="shared" si="1"/>
        <v>45212</v>
      </c>
      <c r="L12" s="110" t="str">
        <f>IF(VLOOKUP(DAY(K12),フリー入力!$E$5:$G$35,3,0)="","",VLOOKUP(DAY(K12),フリー入力!$E$5:$G$35,3,0))</f>
        <v/>
      </c>
      <c r="M12" s="33">
        <f t="shared" si="1"/>
        <v>45213</v>
      </c>
      <c r="N12" s="110" t="str">
        <f>IF(VLOOKUP(DAY(M12),フリー入力!$E$5:$G$35,3,0)="","",VLOOKUP(DAY(M12),フリー入力!$E$5:$G$35,3,0))</f>
        <v/>
      </c>
      <c r="O12" s="34">
        <f t="shared" si="1"/>
        <v>45214</v>
      </c>
      <c r="P12" s="111" t="str">
        <f>IF(VLOOKUP(DAY(O12),フリー入力!$E$5:$G$35,3,0)="","",VLOOKUP(DAY(O12),フリー入力!$E$5:$G$35,3,0))</f>
        <v/>
      </c>
    </row>
    <row r="13" spans="3:18" ht="28.15" customHeight="1" x14ac:dyDescent="0.15">
      <c r="C13" s="146" t="str">
        <f>IF(VLOOKUP(DAY(C12),フリー入力!$E$5:$J$35,4,0)=0,"",VLOOKUP(DAY(C12),フリー入力!$E$5:$J$35,4,0))</f>
        <v/>
      </c>
      <c r="D13" s="147"/>
      <c r="E13" s="146" t="str">
        <f>IF(VLOOKUP(DAY(E12),フリー入力!$E$5:$J$35,4,0)=0,"",VLOOKUP(DAY(E12),フリー入力!$E$5:$J$35,4,0))</f>
        <v/>
      </c>
      <c r="F13" s="147"/>
      <c r="G13" s="146" t="str">
        <f>IF(VLOOKUP(DAY(G12),フリー入力!$E$5:$J$35,4,0)=0,"",VLOOKUP(DAY(G12),フリー入力!$E$5:$J$35,4,0))</f>
        <v/>
      </c>
      <c r="H13" s="147"/>
      <c r="I13" s="146" t="str">
        <f>IF(VLOOKUP(DAY(I12),フリー入力!$E$5:$J$35,4,0)=0,"",VLOOKUP(DAY(I12),フリー入力!$E$5:$J$35,4,0))</f>
        <v/>
      </c>
      <c r="J13" s="147"/>
      <c r="K13" s="146" t="str">
        <f>IF(VLOOKUP(DAY(K12),フリー入力!$E$5:$J$35,4,0)=0,"",VLOOKUP(DAY(K12),フリー入力!$E$5:$J$35,4,0))</f>
        <v/>
      </c>
      <c r="L13" s="147"/>
      <c r="M13" s="146" t="str">
        <f>IF(VLOOKUP(DAY(M12),フリー入力!$E$5:$J$35,4,0)=0,"",VLOOKUP(DAY(M12),フリー入力!$E$5:$J$35,4,0))</f>
        <v/>
      </c>
      <c r="N13" s="147"/>
      <c r="O13" s="146" t="str">
        <f>IF(VLOOKUP(DAY(O12),フリー入力!$E$5:$J$35,4,0)=0,"",VLOOKUP(DAY(O12),フリー入力!$E$5:$J$35,4,0))</f>
        <v/>
      </c>
      <c r="P13" s="147"/>
      <c r="Q13" s="31"/>
      <c r="R13" s="31"/>
    </row>
    <row r="14" spans="3:18" ht="28.15" customHeight="1" x14ac:dyDescent="0.15">
      <c r="C14" s="146" t="str">
        <f>IF(VLOOKUP(DAY(C12),フリー入力!$E$5:$J$35,5,0)=0,"",VLOOKUP(DAY(C12),フリー入力!$E$5:$J$35,5,0))</f>
        <v/>
      </c>
      <c r="D14" s="147"/>
      <c r="E14" s="146" t="str">
        <f>IF(VLOOKUP(DAY(E12),フリー入力!$E$5:$J$35,5,0)=0,"",VLOOKUP(DAY(E12),フリー入力!$E$5:$J$35,5,0))</f>
        <v/>
      </c>
      <c r="F14" s="147"/>
      <c r="G14" s="146" t="str">
        <f>IF(VLOOKUP(DAY(G12),フリー入力!$E$5:$J$35,5,0)=0,"",VLOOKUP(DAY(G12),フリー入力!$E$5:$J$35,5,0))</f>
        <v/>
      </c>
      <c r="H14" s="147"/>
      <c r="I14" s="146" t="str">
        <f>IF(VLOOKUP(DAY(I12),フリー入力!$E$5:$J$35,5,0)=0,"",VLOOKUP(DAY(I12),フリー入力!$E$5:$J$35,5,0))</f>
        <v/>
      </c>
      <c r="J14" s="147"/>
      <c r="K14" s="146" t="str">
        <f>IF(VLOOKUP(DAY(K12),フリー入力!$E$5:$J$35,5,0)=0,"",VLOOKUP(DAY(K12),フリー入力!$E$5:$J$35,5,0))</f>
        <v/>
      </c>
      <c r="L14" s="147"/>
      <c r="M14" s="146" t="str">
        <f>IF(VLOOKUP(DAY(M12),フリー入力!$E$5:$J$35,5,0)=0,"",VLOOKUP(DAY(M12),フリー入力!$E$5:$J$35,5,0))</f>
        <v/>
      </c>
      <c r="N14" s="147"/>
      <c r="O14" s="146" t="str">
        <f>IF(VLOOKUP(DAY(O12),フリー入力!$E$5:$J$35,5,0)=0,"",VLOOKUP(DAY(O12),フリー入力!$E$5:$J$35,5,0))</f>
        <v/>
      </c>
      <c r="P14" s="147"/>
      <c r="Q14" s="31"/>
      <c r="R14" s="31"/>
    </row>
    <row r="15" spans="3:18" ht="28.15" customHeight="1" x14ac:dyDescent="0.15">
      <c r="C15" s="148" t="str">
        <f>IF(VLOOKUP(DAY(C12),フリー入力!$E$5:$J$35,6,0)=0,"",VLOOKUP(DAY(C12),フリー入力!$E$5:$J$35,6,0))</f>
        <v/>
      </c>
      <c r="D15" s="149"/>
      <c r="E15" s="148" t="str">
        <f>IF(VLOOKUP(DAY(E12),フリー入力!$E$5:$J$35,6,0)=0,"",VLOOKUP(DAY(E12),フリー入力!$E$5:$J$35,6,0))</f>
        <v/>
      </c>
      <c r="F15" s="149"/>
      <c r="G15" s="148" t="str">
        <f>IF(VLOOKUP(DAY(G12),フリー入力!$E$5:$J$35,6,0)=0,"",VLOOKUP(DAY(G12),フリー入力!$E$5:$J$35,6,0))</f>
        <v/>
      </c>
      <c r="H15" s="149"/>
      <c r="I15" s="148" t="str">
        <f>IF(VLOOKUP(DAY(I12),フリー入力!$E$5:$J$35,6,0)=0,"",VLOOKUP(DAY(I12),フリー入力!$E$5:$J$35,6,0))</f>
        <v/>
      </c>
      <c r="J15" s="149"/>
      <c r="K15" s="148" t="str">
        <f>IF(VLOOKUP(DAY(K12),フリー入力!$E$5:$J$35,6,0)=0,"",VLOOKUP(DAY(K12),フリー入力!$E$5:$J$35,6,0))</f>
        <v/>
      </c>
      <c r="L15" s="149"/>
      <c r="M15" s="148" t="str">
        <f>IF(VLOOKUP(DAY(M12),フリー入力!$E$5:$J$35,6,0)=0,"",VLOOKUP(DAY(M12),フリー入力!$E$5:$J$35,6,0))</f>
        <v/>
      </c>
      <c r="N15" s="149"/>
      <c r="O15" s="148" t="str">
        <f>IF(VLOOKUP(DAY(O12),フリー入力!$E$5:$J$35,6,0)=0,"",VLOOKUP(DAY(O12),フリー入力!$E$5:$J$35,6,0))</f>
        <v/>
      </c>
      <c r="P15" s="149"/>
    </row>
    <row r="16" spans="3:18" ht="28.15" customHeight="1" x14ac:dyDescent="0.15">
      <c r="C16" s="32">
        <f t="shared" ref="C16:O16" si="2">C4+21</f>
        <v>45215</v>
      </c>
      <c r="D16" s="110" t="str">
        <f>IF(VLOOKUP(DAY(C16),フリー入力!$E$5:$G$35,3,0)="","",VLOOKUP(DAY(C16),フリー入力!$E$5:$G$35,3,0))</f>
        <v/>
      </c>
      <c r="E16" s="32">
        <f t="shared" si="2"/>
        <v>45216</v>
      </c>
      <c r="F16" s="110" t="str">
        <f>IF(VLOOKUP(DAY(E16),フリー入力!$E$5:$G$35,3,0)="","",VLOOKUP(DAY(E16),フリー入力!$E$5:$G$35,3,0))</f>
        <v/>
      </c>
      <c r="G16" s="32">
        <f t="shared" si="2"/>
        <v>45217</v>
      </c>
      <c r="H16" s="110" t="str">
        <f>IF(VLOOKUP(DAY(G16),フリー入力!$E$5:$G$35,3,0)="","",VLOOKUP(DAY(G16),フリー入力!$E$5:$G$35,3,0))</f>
        <v/>
      </c>
      <c r="I16" s="32">
        <f t="shared" si="2"/>
        <v>45218</v>
      </c>
      <c r="J16" s="110" t="str">
        <f>IF(VLOOKUP(DAY(I16),フリー入力!$E$5:$G$35,3,0)="","",VLOOKUP(DAY(I16),フリー入力!$E$5:$G$35,3,0))</f>
        <v/>
      </c>
      <c r="K16" s="32">
        <f t="shared" si="2"/>
        <v>45219</v>
      </c>
      <c r="L16" s="110" t="str">
        <f>IF(VLOOKUP(DAY(K16),フリー入力!$E$5:$G$35,3,0)="","",VLOOKUP(DAY(K16),フリー入力!$E$5:$G$35,3,0))</f>
        <v/>
      </c>
      <c r="M16" s="33">
        <f t="shared" si="2"/>
        <v>45220</v>
      </c>
      <c r="N16" s="110" t="str">
        <f>IF(VLOOKUP(DAY(M16),フリー入力!$E$5:$G$35,3,0)="","",VLOOKUP(DAY(M16),フリー入力!$E$5:$G$35,3,0))</f>
        <v/>
      </c>
      <c r="O16" s="34">
        <f t="shared" si="2"/>
        <v>45221</v>
      </c>
      <c r="P16" s="111" t="str">
        <f>IF(VLOOKUP(DAY(O16),フリー入力!$E$5:$G$35,3,0)="","",VLOOKUP(DAY(O16),フリー入力!$E$5:$G$35,3,0))</f>
        <v/>
      </c>
    </row>
    <row r="17" spans="3:16" ht="28.15" customHeight="1" x14ac:dyDescent="0.15">
      <c r="C17" s="146" t="str">
        <f>IF(VLOOKUP(DAY(C16),フリー入力!$E$5:$J$35,4,0)=0,"",VLOOKUP(DAY(C16),フリー入力!$E$5:$J$35,4,0))</f>
        <v/>
      </c>
      <c r="D17" s="147"/>
      <c r="E17" s="146" t="str">
        <f>IF(VLOOKUP(DAY(E16),フリー入力!$E$5:$J$35,4,0)=0,"",VLOOKUP(DAY(E16),フリー入力!$E$5:$J$35,4,0))</f>
        <v/>
      </c>
      <c r="F17" s="147"/>
      <c r="G17" s="146" t="str">
        <f>IF(VLOOKUP(DAY(G16),フリー入力!$E$5:$J$35,4,0)=0,"",VLOOKUP(DAY(G16),フリー入力!$E$5:$J$35,4,0))</f>
        <v/>
      </c>
      <c r="H17" s="147"/>
      <c r="I17" s="146" t="str">
        <f>IF(VLOOKUP(DAY(I16),フリー入力!$E$5:$J$35,4,0)=0,"",VLOOKUP(DAY(I16),フリー入力!$E$5:$J$35,4,0))</f>
        <v/>
      </c>
      <c r="J17" s="147"/>
      <c r="K17" s="146" t="str">
        <f>IF(VLOOKUP(DAY(K16),フリー入力!$E$5:$J$35,4,0)=0,"",VLOOKUP(DAY(K16),フリー入力!$E$5:$J$35,4,0))</f>
        <v/>
      </c>
      <c r="L17" s="147"/>
      <c r="M17" s="146" t="str">
        <f>IF(VLOOKUP(DAY(M16),フリー入力!$E$5:$J$35,4,0)=0,"",VLOOKUP(DAY(M16),フリー入力!$E$5:$J$35,4,0))</f>
        <v/>
      </c>
      <c r="N17" s="147"/>
      <c r="O17" s="146" t="str">
        <f>IF(VLOOKUP(DAY(O16),フリー入力!$E$5:$J$35,4,0)=0,"",VLOOKUP(DAY(O16),フリー入力!$E$5:$J$35,4,0))</f>
        <v/>
      </c>
      <c r="P17" s="147"/>
    </row>
    <row r="18" spans="3:16" ht="28.15" customHeight="1" x14ac:dyDescent="0.15">
      <c r="C18" s="146" t="str">
        <f>IF(VLOOKUP(DAY(C16),フリー入力!$E$5:$J$35,5,0)=0,"",VLOOKUP(DAY(C16),フリー入力!$E$5:$J$35,5,0))</f>
        <v/>
      </c>
      <c r="D18" s="147"/>
      <c r="E18" s="146" t="str">
        <f>IF(VLOOKUP(DAY(E16),フリー入力!$E$5:$J$35,5,0)=0,"",VLOOKUP(DAY(E16),フリー入力!$E$5:$J$35,5,0))</f>
        <v/>
      </c>
      <c r="F18" s="147"/>
      <c r="G18" s="146" t="str">
        <f>IF(VLOOKUP(DAY(G16),フリー入力!$E$5:$J$35,5,0)=0,"",VLOOKUP(DAY(G16),フリー入力!$E$5:$J$35,5,0))</f>
        <v/>
      </c>
      <c r="H18" s="147"/>
      <c r="I18" s="146" t="str">
        <f>IF(VLOOKUP(DAY(I16),フリー入力!$E$5:$J$35,5,0)=0,"",VLOOKUP(DAY(I16),フリー入力!$E$5:$J$35,5,0))</f>
        <v/>
      </c>
      <c r="J18" s="147"/>
      <c r="K18" s="146" t="str">
        <f>IF(VLOOKUP(DAY(K16),フリー入力!$E$5:$J$35,5,0)=0,"",VLOOKUP(DAY(K16),フリー入力!$E$5:$J$35,5,0))</f>
        <v/>
      </c>
      <c r="L18" s="147"/>
      <c r="M18" s="146" t="str">
        <f>IF(VLOOKUP(DAY(M16),フリー入力!$E$5:$J$35,5,0)=0,"",VLOOKUP(DAY(M16),フリー入力!$E$5:$J$35,5,0))</f>
        <v/>
      </c>
      <c r="N18" s="147"/>
      <c r="O18" s="146" t="str">
        <f>IF(VLOOKUP(DAY(O16),フリー入力!$E$5:$J$35,5,0)=0,"",VLOOKUP(DAY(O16),フリー入力!$E$5:$J$35,5,0))</f>
        <v/>
      </c>
      <c r="P18" s="147"/>
    </row>
    <row r="19" spans="3:16" ht="28.15" customHeight="1" x14ac:dyDescent="0.15">
      <c r="C19" s="146" t="str">
        <f>IF(VLOOKUP(DAY(C16),フリー入力!$E$5:$J$35,6,0)=0,"",VLOOKUP(DAY(C16),フリー入力!$E$5:$J$35,6,0))</f>
        <v/>
      </c>
      <c r="D19" s="147"/>
      <c r="E19" s="146" t="str">
        <f>IF(VLOOKUP(DAY(E16),フリー入力!$E$5:$J$35,6,0)=0,"",VLOOKUP(DAY(E16),フリー入力!$E$5:$J$35,6,0))</f>
        <v/>
      </c>
      <c r="F19" s="147"/>
      <c r="G19" s="146" t="str">
        <f>IF(VLOOKUP(DAY(G16),フリー入力!$E$5:$J$35,6,0)=0,"",VLOOKUP(DAY(G16),フリー入力!$E$5:$J$35,6,0))</f>
        <v/>
      </c>
      <c r="H19" s="147"/>
      <c r="I19" s="146" t="str">
        <f>IF(VLOOKUP(DAY(I16),フリー入力!$E$5:$J$35,6,0)=0,"",VLOOKUP(DAY(I16),フリー入力!$E$5:$J$35,6,0))</f>
        <v/>
      </c>
      <c r="J19" s="147"/>
      <c r="K19" s="146" t="str">
        <f>IF(VLOOKUP(DAY(K16),フリー入力!$E$5:$J$35,6,0)=0,"",VLOOKUP(DAY(K16),フリー入力!$E$5:$J$35,6,0))</f>
        <v/>
      </c>
      <c r="L19" s="147"/>
      <c r="M19" s="146" t="str">
        <f>IF(VLOOKUP(DAY(M16),フリー入力!$E$5:$J$35,6,0)=0,"",VLOOKUP(DAY(M16),フリー入力!$E$5:$J$35,6,0))</f>
        <v/>
      </c>
      <c r="N19" s="147"/>
      <c r="O19" s="146" t="str">
        <f>IF(VLOOKUP(DAY(O16),フリー入力!$E$5:$J$35,6,0)=0,"",VLOOKUP(DAY(O16),フリー入力!$E$5:$J$35,6,0))</f>
        <v/>
      </c>
      <c r="P19" s="147"/>
    </row>
    <row r="20" spans="3:16" ht="28.15" customHeight="1" x14ac:dyDescent="0.15">
      <c r="C20" s="32">
        <f t="shared" ref="C20:O20" si="3">C4+28</f>
        <v>45222</v>
      </c>
      <c r="D20" s="110" t="str">
        <f>IF(C20&gt;$C$29,"",IF(VLOOKUP(DAY(C20),フリー入力!$E$5:$G$35,3,0)="","",VLOOKUP(DAY(C20),フリー入力!$E$5:$G$35,3,0)))</f>
        <v/>
      </c>
      <c r="E20" s="32">
        <f t="shared" si="3"/>
        <v>45223</v>
      </c>
      <c r="F20" s="110" t="str">
        <f>IF(E20&gt;$C$29,"",IF(VLOOKUP(DAY(E20),フリー入力!$E$5:$G$35,3,0)="","",VLOOKUP(DAY(E20),フリー入力!$E$5:$G$35,3,0)))</f>
        <v/>
      </c>
      <c r="G20" s="32">
        <f t="shared" si="3"/>
        <v>45224</v>
      </c>
      <c r="H20" s="110" t="str">
        <f>IF(G20&gt;$C$29,"",IF(VLOOKUP(DAY(G20),フリー入力!$E$5:$G$35,3,0)="","",VLOOKUP(DAY(G20),フリー入力!$E$5:$G$35,3,0)))</f>
        <v/>
      </c>
      <c r="I20" s="32">
        <f t="shared" si="3"/>
        <v>45225</v>
      </c>
      <c r="J20" s="110" t="str">
        <f>IF(I20&gt;$C$29,"",IF(VLOOKUP(DAY(I20),フリー入力!$E$5:$G$35,3,0)="","",VLOOKUP(DAY(I20),フリー入力!$E$5:$G$35,3,0)))</f>
        <v/>
      </c>
      <c r="K20" s="32">
        <f t="shared" si="3"/>
        <v>45226</v>
      </c>
      <c r="L20" s="110" t="str">
        <f>IF(K20&gt;$C$29,"",IF(VLOOKUP(DAY(K20),フリー入力!$E$5:$G$35,3,0)="","",VLOOKUP(DAY(K20),フリー入力!$E$5:$G$35,3,0)))</f>
        <v/>
      </c>
      <c r="M20" s="33">
        <f t="shared" si="3"/>
        <v>45227</v>
      </c>
      <c r="N20" s="110" t="str">
        <f>IF(M20&gt;$C$29,"",IF(VLOOKUP(DAY(M20),フリー入力!$E$5:$G$35,3,0)="","",VLOOKUP(DAY(M20),フリー入力!$E$5:$G$35,3,0)))</f>
        <v/>
      </c>
      <c r="O20" s="34">
        <f t="shared" si="3"/>
        <v>45228</v>
      </c>
      <c r="P20" s="111" t="str">
        <f>IF(O20&gt;$C$29,"",IF(VLOOKUP(DAY(O20),フリー入力!$E$5:$G$35,3,0)="","",VLOOKUP(DAY(O20),フリー入力!$E$5:$G$35,3,0)))</f>
        <v/>
      </c>
    </row>
    <row r="21" spans="3:16" ht="28.15" customHeight="1" x14ac:dyDescent="0.15">
      <c r="C21" s="146" t="str">
        <f>IF(C20&gt;$C$29,"",IF(VLOOKUP(DAY(C20),フリー入力!$E$5:$J$35,4,0)=0,"",VLOOKUP(DAY(C20),フリー入力!$E$5:$J$35,4,0)))</f>
        <v/>
      </c>
      <c r="D21" s="147"/>
      <c r="E21" s="146" t="str">
        <f>IF(E20&gt;$C$29,"",IF(VLOOKUP(DAY(E20),フリー入力!$E$5:$J$35,4,0)=0,"",VLOOKUP(DAY(E20),フリー入力!$E$5:$J$35,4,0)))</f>
        <v/>
      </c>
      <c r="F21" s="147"/>
      <c r="G21" s="146" t="str">
        <f>IF(G20&gt;$C$29,"",IF(VLOOKUP(DAY(G20),フリー入力!$E$5:$J$35,4,0)=0,"",VLOOKUP(DAY(G20),フリー入力!$E$5:$J$35,4,0)))</f>
        <v/>
      </c>
      <c r="H21" s="147"/>
      <c r="I21" s="146" t="str">
        <f>IF(I20&gt;$C$29,"",IF(VLOOKUP(DAY(I20),フリー入力!$E$5:$J$35,4,0)=0,"",VLOOKUP(DAY(I20),フリー入力!$E$5:$J$35,4,0)))</f>
        <v/>
      </c>
      <c r="J21" s="147"/>
      <c r="K21" s="146" t="str">
        <f>IF(K20&gt;$C$29,"",IF(VLOOKUP(DAY(K20),フリー入力!$E$5:$J$35,4,0)=0,"",VLOOKUP(DAY(K20),フリー入力!$E$5:$J$35,4,0)))</f>
        <v/>
      </c>
      <c r="L21" s="147"/>
      <c r="M21" s="146" t="str">
        <f>IF(M20&gt;$C$29,"",IF(VLOOKUP(DAY(M20),フリー入力!$E$5:$J$35,4,0)=0,"",VLOOKUP(DAY(M20),フリー入力!$E$5:$J$35,4,0)))</f>
        <v/>
      </c>
      <c r="N21" s="147"/>
      <c r="O21" s="146" t="str">
        <f>IF(O20&gt;$C$29,"",IF(VLOOKUP(DAY(O20),フリー入力!$E$5:$J$35,4,0)=0,"",VLOOKUP(DAY(O20),フリー入力!$E$5:$J$35,4,0)))</f>
        <v/>
      </c>
      <c r="P21" s="147"/>
    </row>
    <row r="22" spans="3:16" ht="28.15" customHeight="1" x14ac:dyDescent="0.15">
      <c r="C22" s="146" t="str">
        <f>IF(C20&gt;$C$29,"",IF(VLOOKUP(DAY(C20),フリー入力!$E$5:$J$35,5,0)=0,"",VLOOKUP(DAY(C20),フリー入力!$E$5:$J$35,5,0)))</f>
        <v/>
      </c>
      <c r="D22" s="147"/>
      <c r="E22" s="146" t="str">
        <f>IF(E20&gt;$C$29,"",IF(VLOOKUP(DAY(E20),フリー入力!$E$5:$J$35,5,0)=0,"",VLOOKUP(DAY(E20),フリー入力!$E$5:$J$35,5,0)))</f>
        <v/>
      </c>
      <c r="F22" s="147"/>
      <c r="G22" s="146" t="str">
        <f>IF(G20&gt;$C$29,"",IF(VLOOKUP(DAY(G20),フリー入力!$E$5:$J$35,5,0)=0,"",VLOOKUP(DAY(G20),フリー入力!$E$5:$J$35,5,0)))</f>
        <v/>
      </c>
      <c r="H22" s="147"/>
      <c r="I22" s="146" t="str">
        <f>IF(I20&gt;$C$29,"",IF(VLOOKUP(DAY(I20),フリー入力!$E$5:$J$35,5,0)=0,"",VLOOKUP(DAY(I20),フリー入力!$E$5:$J$35,5,0)))</f>
        <v/>
      </c>
      <c r="J22" s="147"/>
      <c r="K22" s="146" t="str">
        <f>IF(K20&gt;$C$29,"",IF(VLOOKUP(DAY(K20),フリー入力!$E$5:$J$35,5,0)=0,"",VLOOKUP(DAY(K20),フリー入力!$E$5:$J$35,5,0)))</f>
        <v/>
      </c>
      <c r="L22" s="147"/>
      <c r="M22" s="146" t="str">
        <f>IF(M20&gt;$C$29,"",IF(VLOOKUP(DAY(M20),フリー入力!$E$5:$J$35,5,0)=0,"",VLOOKUP(DAY(M20),フリー入力!$E$5:$J$35,5,0)))</f>
        <v/>
      </c>
      <c r="N22" s="147"/>
      <c r="O22" s="146" t="str">
        <f>IF(O20&gt;$C$29,"",IF(VLOOKUP(DAY(O20),フリー入力!$E$5:$J$35,5,0)=0,"",VLOOKUP(DAY(O20),フリー入力!$E$5:$J$35,5,0)))</f>
        <v/>
      </c>
      <c r="P22" s="147"/>
    </row>
    <row r="23" spans="3:16" ht="28.15" customHeight="1" x14ac:dyDescent="0.15">
      <c r="C23" s="146" t="str">
        <f>IF(C20&gt;$C$29,"",IF(VLOOKUP(DAY(C20),フリー入力!$E$5:$J$35,6,0)=0,"",VLOOKUP(DAY(C20),フリー入力!$E$5:$J$35,6,0)))</f>
        <v/>
      </c>
      <c r="D23" s="147"/>
      <c r="E23" s="146" t="str">
        <f>IF(E20&gt;$C$29,"",IF(VLOOKUP(DAY(E20),フリー入力!$E$5:$J$35,6,0)=0,"",VLOOKUP(DAY(E20),フリー入力!$E$5:$J$35,6,0)))</f>
        <v/>
      </c>
      <c r="F23" s="147"/>
      <c r="G23" s="146" t="str">
        <f>IF(G20&gt;$C$29,"",IF(VLOOKUP(DAY(G20),フリー入力!$E$5:$J$35,6,0)=0,"",VLOOKUP(DAY(G20),フリー入力!$E$5:$J$35,6,0)))</f>
        <v/>
      </c>
      <c r="H23" s="147"/>
      <c r="I23" s="146" t="str">
        <f>IF(I20&gt;$C$29,"",IF(VLOOKUP(DAY(I20),フリー入力!$E$5:$J$35,6,0)=0,"",VLOOKUP(DAY(I20),フリー入力!$E$5:$J$35,6,0)))</f>
        <v/>
      </c>
      <c r="J23" s="147"/>
      <c r="K23" s="146" t="str">
        <f>IF(K20&gt;$C$29,"",IF(VLOOKUP(DAY(K20),フリー入力!$E$5:$J$35,6,0)=0,"",VLOOKUP(DAY(K20),フリー入力!$E$5:$J$35,6,0)))</f>
        <v/>
      </c>
      <c r="L23" s="147"/>
      <c r="M23" s="146" t="str">
        <f>IF(M20&gt;$C$29,"",IF(VLOOKUP(DAY(M20),フリー入力!$E$5:$J$35,6,0)=0,"",VLOOKUP(DAY(M20),フリー入力!$E$5:$J$35,6,0)))</f>
        <v/>
      </c>
      <c r="N23" s="147"/>
      <c r="O23" s="146" t="str">
        <f>IF(O20&gt;$C$29,"",IF(VLOOKUP(DAY(O20),フリー入力!$E$5:$J$35,6,0)=0,"",VLOOKUP(DAY(O20),フリー入力!$E$5:$J$35,6,0)))</f>
        <v/>
      </c>
      <c r="P23" s="147"/>
    </row>
    <row r="24" spans="3:16" ht="28.15" customHeight="1" x14ac:dyDescent="0.15">
      <c r="C24" s="32">
        <f t="shared" ref="C24:O24" si="4">C4+35</f>
        <v>45229</v>
      </c>
      <c r="D24" s="110" t="str">
        <f>IF(C24&gt;$C$29,"",IF(VLOOKUP(DAY(C24),フリー入力!$E$5:$G$35,3,0)="","",VLOOKUP(DAY(C24),フリー入力!$E$5:$G$35,3,0)))</f>
        <v/>
      </c>
      <c r="E24" s="32">
        <f t="shared" si="4"/>
        <v>45230</v>
      </c>
      <c r="F24" s="110" t="str">
        <f>IF(E24&gt;$C$29,"",IF(VLOOKUP(DAY(E24),フリー入力!$E$5:$G$35,3,0)="","",VLOOKUP(DAY(E24),フリー入力!$E$5:$G$35,3,0)))</f>
        <v/>
      </c>
      <c r="G24" s="32">
        <f t="shared" si="4"/>
        <v>45231</v>
      </c>
      <c r="H24" s="110" t="str">
        <f>IF(G24&gt;$C$29,"",IF(VLOOKUP(DAY(G24),フリー入力!$E$5:$G$35,3,0)="","",VLOOKUP(DAY(G24),フリー入力!$E$5:$G$35,3,0)))</f>
        <v/>
      </c>
      <c r="I24" s="32">
        <f t="shared" si="4"/>
        <v>45232</v>
      </c>
      <c r="J24" s="110" t="str">
        <f>IF(I24&gt;$C$29,"",IF(VLOOKUP(DAY(I24),フリー入力!$E$5:$G$35,3,0)="","",VLOOKUP(DAY(I24),フリー入力!$E$5:$G$35,3,0)))</f>
        <v/>
      </c>
      <c r="K24" s="32">
        <f t="shared" si="4"/>
        <v>45233</v>
      </c>
      <c r="L24" s="110" t="str">
        <f>IF(K24&gt;$C$29,"",IF(VLOOKUP(DAY(K24),フリー入力!$E$5:$G$35,3,0)="","",VLOOKUP(DAY(K24),フリー入力!$E$5:$G$35,3,0)))</f>
        <v/>
      </c>
      <c r="M24" s="33">
        <f t="shared" si="4"/>
        <v>45234</v>
      </c>
      <c r="N24" s="110" t="str">
        <f>IF(M24&gt;$C$29,"",IF(VLOOKUP(DAY(M24),フリー入力!$E$5:$G$35,3,0)="","",VLOOKUP(DAY(M24),フリー入力!$E$5:$G$35,3,0)))</f>
        <v/>
      </c>
      <c r="O24" s="34">
        <f t="shared" si="4"/>
        <v>45235</v>
      </c>
      <c r="P24" s="111" t="str">
        <f>IF(O24&gt;$C$29,"",IF(VLOOKUP(DAY(O24),フリー入力!$E$5:$G$35,3,0)="","",VLOOKUP(DAY(O24),フリー入力!$E$5:$G$35,3,0)))</f>
        <v/>
      </c>
    </row>
    <row r="25" spans="3:16" ht="28.15" customHeight="1" x14ac:dyDescent="0.15">
      <c r="C25" s="146" t="str">
        <f>IF(C24&gt;$C$29,"",IF(VLOOKUP(DAY(C24),フリー入力!$E$5:$J$35,4,0)=0,"",VLOOKUP(DAY(C24),フリー入力!$E$5:$J$35,4,0)))</f>
        <v/>
      </c>
      <c r="D25" s="147"/>
      <c r="E25" s="146" t="str">
        <f>IF(E24&gt;$C$29,"",IF(VLOOKUP(DAY(E24),フリー入力!$E$5:$J$35,4,0)=0,"",VLOOKUP(DAY(E24),フリー入力!$E$5:$J$35,4,0)))</f>
        <v/>
      </c>
      <c r="F25" s="147"/>
      <c r="G25" s="146" t="str">
        <f>IF(G24&gt;$C$29,"",IF(VLOOKUP(DAY(G24),フリー入力!$E$5:$J$35,4,0)=0,"",VLOOKUP(DAY(G24),フリー入力!$E$5:$J$35,4,0)))</f>
        <v/>
      </c>
      <c r="H25" s="147"/>
      <c r="I25" s="146" t="str">
        <f>IF(I24&gt;$C$29,"",IF(VLOOKUP(DAY(I24),フリー入力!$E$5:$J$35,4,0)=0,"",VLOOKUP(DAY(I24),フリー入力!$E$5:$J$35,4,0)))</f>
        <v/>
      </c>
      <c r="J25" s="147"/>
      <c r="K25" s="146" t="str">
        <f>IF(K24&gt;$C$29,"",IF(VLOOKUP(DAY(K24),フリー入力!$E$5:$J$35,4,0)=0,"",VLOOKUP(DAY(K24),フリー入力!$E$5:$J$35,4,0)))</f>
        <v/>
      </c>
      <c r="L25" s="147"/>
      <c r="M25" s="146" t="str">
        <f>IF(M24&gt;$C$29,"",IF(VLOOKUP(DAY(M24),フリー入力!$E$5:$J$35,4,0)=0,"",VLOOKUP(DAY(M24),フリー入力!$E$5:$J$35,4,0)))</f>
        <v/>
      </c>
      <c r="N25" s="147"/>
      <c r="O25" s="146" t="str">
        <f>IF(O24&gt;$C$29,"",IF(VLOOKUP(DAY(O24),フリー入力!$E$5:$J$35,4,0)=0,"",VLOOKUP(DAY(O24),フリー入力!$E$5:$J$35,4,0)))</f>
        <v/>
      </c>
      <c r="P25" s="147"/>
    </row>
    <row r="26" spans="3:16" ht="28.15" customHeight="1" x14ac:dyDescent="0.15">
      <c r="C26" s="146" t="str">
        <f>IF(C24&gt;$C$29,"",IF(VLOOKUP(DAY(C24),フリー入力!$E$5:$J$35,5,0)=0,"",VLOOKUP(DAY(C24),フリー入力!$E$5:$J$35,5,0)))</f>
        <v/>
      </c>
      <c r="D26" s="147"/>
      <c r="E26" s="146" t="str">
        <f>IF(E24&gt;$C$29,"",IF(VLOOKUP(DAY(E24),フリー入力!$E$5:$J$35,5,0)=0,"",VLOOKUP(DAY(E24),フリー入力!$E$5:$J$35,5,0)))</f>
        <v/>
      </c>
      <c r="F26" s="147"/>
      <c r="G26" s="146" t="str">
        <f>IF(G24&gt;$C$29,"",IF(VLOOKUP(DAY(G24),フリー入力!$E$5:$J$35,5,0)=0,"",VLOOKUP(DAY(G24),フリー入力!$E$5:$J$35,5,0)))</f>
        <v/>
      </c>
      <c r="H26" s="147"/>
      <c r="I26" s="146" t="str">
        <f>IF(I24&gt;$C$29,"",IF(VLOOKUP(DAY(I24),フリー入力!$E$5:$J$35,5,0)=0,"",VLOOKUP(DAY(I24),フリー入力!$E$5:$J$35,5,0)))</f>
        <v/>
      </c>
      <c r="J26" s="147"/>
      <c r="K26" s="146" t="str">
        <f>IF(K24&gt;$C$29,"",IF(VLOOKUP(DAY(K24),フリー入力!$E$5:$J$35,5,0)=0,"",VLOOKUP(DAY(K24),フリー入力!$E$5:$J$35,5,0)))</f>
        <v/>
      </c>
      <c r="L26" s="147"/>
      <c r="M26" s="146" t="str">
        <f>IF(M24&gt;$C$29,"",IF(VLOOKUP(DAY(M24),フリー入力!$E$5:$J$35,5,0)=0,"",VLOOKUP(DAY(M24),フリー入力!$E$5:$J$35,5,0)))</f>
        <v/>
      </c>
      <c r="N26" s="147"/>
      <c r="O26" s="146" t="str">
        <f>IF(O24&gt;$C$29,"",IF(VLOOKUP(DAY(O24),フリー入力!$E$5:$J$35,5,0)=0,"",VLOOKUP(DAY(O24),フリー入力!$E$5:$J$35,5,0)))</f>
        <v/>
      </c>
      <c r="P26" s="147"/>
    </row>
    <row r="27" spans="3:16" ht="28.15" customHeight="1" x14ac:dyDescent="0.15">
      <c r="C27" s="148" t="str">
        <f>IF(C24&gt;$C$29,"",IF(VLOOKUP(DAY(C24),フリー入力!$E$5:$J$35,6,0)=0,"",VLOOKUP(DAY(C24),フリー入力!$E$5:$J$35,6,0)))</f>
        <v/>
      </c>
      <c r="D27" s="149"/>
      <c r="E27" s="148" t="str">
        <f>IF(E24&gt;$C$29,"",IF(VLOOKUP(DAY(E24),フリー入力!$E$5:$J$35,6,0)=0,"",VLOOKUP(DAY(E24),フリー入力!$E$5:$J$35,6,0)))</f>
        <v/>
      </c>
      <c r="F27" s="149"/>
      <c r="G27" s="148" t="str">
        <f>IF(G24&gt;$C$29,"",IF(VLOOKUP(DAY(G24),フリー入力!$E$5:$J$35,6,0)=0,"",VLOOKUP(DAY(G24),フリー入力!$E$5:$J$35,6,0)))</f>
        <v/>
      </c>
      <c r="H27" s="149"/>
      <c r="I27" s="148" t="str">
        <f>IF(I24&gt;$C$29,"",IF(VLOOKUP(DAY(I24),フリー入力!$E$5:$J$35,6,0)=0,"",VLOOKUP(DAY(I24),フリー入力!$E$5:$J$35,6,0)))</f>
        <v/>
      </c>
      <c r="J27" s="149"/>
      <c r="K27" s="148" t="str">
        <f>IF(K24&gt;$C$29,"",IF(VLOOKUP(DAY(K24),フリー入力!$E$5:$J$35,6,0)=0,"",VLOOKUP(DAY(K24),フリー入力!$E$5:$J$35,6,0)))</f>
        <v/>
      </c>
      <c r="L27" s="149"/>
      <c r="M27" s="148" t="str">
        <f>IF(M24&gt;$C$29,"",IF(VLOOKUP(DAY(M24),フリー入力!$E$5:$J$35,6,0)=0,"",VLOOKUP(DAY(M24),フリー入力!$E$5:$J$35,6,0)))</f>
        <v/>
      </c>
      <c r="N27" s="149"/>
      <c r="O27" s="148" t="str">
        <f>IF(O24&gt;$C$29,"",IF(VLOOKUP(DAY(O24),フリー入力!$E$5:$J$35,6,0)=0,"",VLOOKUP(DAY(O24),フリー入力!$E$5:$J$35,6,0)))</f>
        <v/>
      </c>
      <c r="P27" s="149"/>
    </row>
    <row r="28" spans="3:16" x14ac:dyDescent="0.15">
      <c r="C28" s="41">
        <f>IF(フリー入力!$F$5=C3,フリー入力!$D$5,0)</f>
        <v>0</v>
      </c>
      <c r="D28" s="41"/>
      <c r="E28" s="41">
        <f>IF(フリー入力!$F$5=E3,フリー入力!$D$5,0)</f>
        <v>0</v>
      </c>
      <c r="F28" s="41"/>
      <c r="G28" s="41">
        <f>IF(フリー入力!$F$5=G3,フリー入力!$D$5,0)</f>
        <v>0</v>
      </c>
      <c r="H28" s="41"/>
      <c r="I28" s="41">
        <f>IF(フリー入力!$F$5=I3,フリー入力!$D$5,0)</f>
        <v>0</v>
      </c>
      <c r="J28" s="41"/>
      <c r="K28" s="41">
        <f>IF(フリー入力!$F$5=K3,フリー入力!$D$5,0)</f>
        <v>0</v>
      </c>
      <c r="L28" s="41"/>
      <c r="M28" s="41">
        <f>IF(フリー入力!$F$5=M3,フリー入力!$D$5,0)</f>
        <v>0</v>
      </c>
      <c r="N28" s="41"/>
      <c r="O28" s="41">
        <f>IF(フリー入力!$F$5=O3,フリー入力!$D$5,0)</f>
        <v>45200</v>
      </c>
      <c r="P28" s="42"/>
    </row>
    <row r="29" spans="3:16" x14ac:dyDescent="0.15">
      <c r="C29" s="43">
        <f>EOMONTH(C1,0)</f>
        <v>45230</v>
      </c>
      <c r="D29" s="43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</row>
  </sheetData>
  <sheetProtection password="DBD1" sheet="1" objects="1" scenarios="1"/>
  <mergeCells count="134">
    <mergeCell ref="C1:H1"/>
    <mergeCell ref="C3:D3"/>
    <mergeCell ref="E3:F3"/>
    <mergeCell ref="G3:H3"/>
    <mergeCell ref="I3:J3"/>
    <mergeCell ref="K3:L3"/>
    <mergeCell ref="M3:N3"/>
    <mergeCell ref="O3:P3"/>
    <mergeCell ref="C5:D5"/>
    <mergeCell ref="E5:F5"/>
    <mergeCell ref="G5:H5"/>
    <mergeCell ref="I5:J5"/>
    <mergeCell ref="K5:L5"/>
    <mergeCell ref="M5:N5"/>
    <mergeCell ref="O5:P5"/>
    <mergeCell ref="O6:P6"/>
    <mergeCell ref="C7:D7"/>
    <mergeCell ref="E7:F7"/>
    <mergeCell ref="G7:H7"/>
    <mergeCell ref="I7:J7"/>
    <mergeCell ref="K7:L7"/>
    <mergeCell ref="M7:N7"/>
    <mergeCell ref="O7:P7"/>
    <mergeCell ref="C6:D6"/>
    <mergeCell ref="E6:F6"/>
    <mergeCell ref="G6:H6"/>
    <mergeCell ref="I6:J6"/>
    <mergeCell ref="K6:L6"/>
    <mergeCell ref="M6:N6"/>
    <mergeCell ref="O9:P9"/>
    <mergeCell ref="C10:D10"/>
    <mergeCell ref="E10:F10"/>
    <mergeCell ref="G10:H10"/>
    <mergeCell ref="I10:J10"/>
    <mergeCell ref="K10:L10"/>
    <mergeCell ref="M10:N10"/>
    <mergeCell ref="O10:P10"/>
    <mergeCell ref="C9:D9"/>
    <mergeCell ref="E9:F9"/>
    <mergeCell ref="G9:H9"/>
    <mergeCell ref="I9:J9"/>
    <mergeCell ref="K9:L9"/>
    <mergeCell ref="M9:N9"/>
    <mergeCell ref="O11:P11"/>
    <mergeCell ref="C13:D13"/>
    <mergeCell ref="E13:F13"/>
    <mergeCell ref="G13:H13"/>
    <mergeCell ref="I13:J13"/>
    <mergeCell ref="K13:L13"/>
    <mergeCell ref="M13:N13"/>
    <mergeCell ref="O13:P13"/>
    <mergeCell ref="C11:D11"/>
    <mergeCell ref="E11:F11"/>
    <mergeCell ref="G11:H11"/>
    <mergeCell ref="I11:J11"/>
    <mergeCell ref="K11:L11"/>
    <mergeCell ref="M11:N11"/>
    <mergeCell ref="O14:P14"/>
    <mergeCell ref="C15:D15"/>
    <mergeCell ref="E15:F15"/>
    <mergeCell ref="G15:H15"/>
    <mergeCell ref="I15:J15"/>
    <mergeCell ref="K15:L15"/>
    <mergeCell ref="M15:N15"/>
    <mergeCell ref="O15:P15"/>
    <mergeCell ref="C14:D14"/>
    <mergeCell ref="E14:F14"/>
    <mergeCell ref="G14:H14"/>
    <mergeCell ref="I14:J14"/>
    <mergeCell ref="K14:L14"/>
    <mergeCell ref="M14:N14"/>
    <mergeCell ref="O17:P17"/>
    <mergeCell ref="C18:D18"/>
    <mergeCell ref="E18:F18"/>
    <mergeCell ref="G18:H18"/>
    <mergeCell ref="I18:J18"/>
    <mergeCell ref="K18:L18"/>
    <mergeCell ref="M18:N18"/>
    <mergeCell ref="O18:P18"/>
    <mergeCell ref="C17:D17"/>
    <mergeCell ref="E17:F17"/>
    <mergeCell ref="G17:H17"/>
    <mergeCell ref="I17:J17"/>
    <mergeCell ref="K17:L17"/>
    <mergeCell ref="M17:N17"/>
    <mergeCell ref="O19:P19"/>
    <mergeCell ref="C21:D21"/>
    <mergeCell ref="E21:F21"/>
    <mergeCell ref="G21:H21"/>
    <mergeCell ref="I21:J21"/>
    <mergeCell ref="K21:L21"/>
    <mergeCell ref="M21:N21"/>
    <mergeCell ref="O21:P21"/>
    <mergeCell ref="C19:D19"/>
    <mergeCell ref="E19:F19"/>
    <mergeCell ref="G19:H19"/>
    <mergeCell ref="I19:J19"/>
    <mergeCell ref="K19:L19"/>
    <mergeCell ref="M19:N19"/>
    <mergeCell ref="O22:P22"/>
    <mergeCell ref="C23:D23"/>
    <mergeCell ref="E23:F23"/>
    <mergeCell ref="G23:H23"/>
    <mergeCell ref="I23:J23"/>
    <mergeCell ref="K23:L23"/>
    <mergeCell ref="M23:N23"/>
    <mergeCell ref="O23:P23"/>
    <mergeCell ref="C22:D22"/>
    <mergeCell ref="E22:F22"/>
    <mergeCell ref="G22:H22"/>
    <mergeCell ref="I22:J22"/>
    <mergeCell ref="K22:L22"/>
    <mergeCell ref="M22:N22"/>
    <mergeCell ref="O27:P27"/>
    <mergeCell ref="C27:D27"/>
    <mergeCell ref="E27:F27"/>
    <mergeCell ref="G27:H27"/>
    <mergeCell ref="I27:J27"/>
    <mergeCell ref="K27:L27"/>
    <mergeCell ref="M27:N27"/>
    <mergeCell ref="O25:P25"/>
    <mergeCell ref="C26:D26"/>
    <mergeCell ref="E26:F26"/>
    <mergeCell ref="G26:H26"/>
    <mergeCell ref="I26:J26"/>
    <mergeCell ref="K26:L26"/>
    <mergeCell ref="M26:N26"/>
    <mergeCell ref="O26:P26"/>
    <mergeCell ref="C25:D25"/>
    <mergeCell ref="E25:F25"/>
    <mergeCell ref="G25:H25"/>
    <mergeCell ref="I25:J25"/>
    <mergeCell ref="K25:L25"/>
    <mergeCell ref="M25:N25"/>
  </mergeCells>
  <phoneticPr fontId="1"/>
  <conditionalFormatting sqref="C4 E4 G4 I4 K4 M4 O4">
    <cfRule type="cellIs" dxfId="2" priority="3" operator="lessThan">
      <formula>$C$1</formula>
    </cfRule>
  </conditionalFormatting>
  <conditionalFormatting sqref="C20">
    <cfRule type="cellIs" dxfId="1" priority="2" operator="greaterThan">
      <formula>$C$29</formula>
    </cfRule>
  </conditionalFormatting>
  <conditionalFormatting sqref="E20 G20 I20 K20 M20 O20 C24 E24 G24 I24 K24 M24 O24">
    <cfRule type="cellIs" dxfId="0" priority="1" operator="greaterThan">
      <formula>$C$29</formula>
    </cfRule>
  </conditionalFormatting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17</vt:i4>
      </vt:variant>
    </vt:vector>
  </HeadingPairs>
  <TitlesOfParts>
    <vt:vector size="22" baseType="lpstr">
      <vt:lpstr>使い方</vt:lpstr>
      <vt:lpstr>設定入力</vt:lpstr>
      <vt:lpstr>出力シート</vt:lpstr>
      <vt:lpstr>フリー入力</vt:lpstr>
      <vt:lpstr>フリー出力</vt:lpstr>
      <vt:lpstr>フリー出力!Print_Area</vt:lpstr>
      <vt:lpstr>フリー入力!Print_Area</vt:lpstr>
      <vt:lpstr>出力シート!Print_Area</vt:lpstr>
      <vt:lpstr>設定入力!Print_Area</vt:lpstr>
      <vt:lpstr>Wナビ項目数</vt:lpstr>
      <vt:lpstr>ナビ項目数</vt:lpstr>
      <vt:lpstr>パターン抽出②_1</vt:lpstr>
      <vt:lpstr>パターン抽出②_2</vt:lpstr>
      <vt:lpstr>パターン抽出②_3</vt:lpstr>
      <vt:lpstr>パターン抽出②_4</vt:lpstr>
      <vt:lpstr>パターン抽出②_5</vt:lpstr>
      <vt:lpstr>パターン抽出②w_1</vt:lpstr>
      <vt:lpstr>パターン抽出②w_2</vt:lpstr>
      <vt:lpstr>パターン抽出②w_3</vt:lpstr>
      <vt:lpstr>パターン抽出②w_4</vt:lpstr>
      <vt:lpstr>パターン抽出②w_5</vt:lpstr>
      <vt:lpstr>ミニナビ項目数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Inoue</dc:creator>
  <cp:lastModifiedBy>Satoshi INOUE</cp:lastModifiedBy>
  <cp:lastPrinted>2023-09-05T02:07:00Z</cp:lastPrinted>
  <dcterms:created xsi:type="dcterms:W3CDTF">2018-08-27T05:46:39Z</dcterms:created>
  <dcterms:modified xsi:type="dcterms:W3CDTF">2023-09-27T05:20:23Z</dcterms:modified>
</cp:coreProperties>
</file>